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xr:revisionPtr revIDLastSave="0" documentId="13_ncr:1_{96AC4DEB-7B7B-4B78-80C9-78E3FB209E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ecutive Summary" sheetId="1" r:id="rId1"/>
    <sheet name="Inventory" sheetId="2" r:id="rId2"/>
    <sheet name="Scope 1" sheetId="3" r:id="rId3"/>
    <sheet name="Scope 2" sheetId="4" r:id="rId4"/>
    <sheet name="Sensitivity" sheetId="5" r:id="rId5"/>
    <sheet name="Assumptions" sheetId="6" r:id="rId6"/>
    <sheet name="Source Data" sheetId="7" r:id="rId7"/>
    <sheet name="EF Library" sheetId="8" r:id="rId8"/>
    <sheet name="QA &amp; Reconciliation" sheetId="9" r:id="rId9"/>
    <sheet name="Sources &amp; Notes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9" l="1"/>
  <c r="F16" i="9"/>
  <c r="F15" i="9"/>
  <c r="E13" i="9"/>
  <c r="D13" i="9"/>
  <c r="C13" i="9"/>
  <c r="F13" i="9" s="1"/>
  <c r="E9" i="9"/>
  <c r="D9" i="9"/>
  <c r="C9" i="9"/>
  <c r="F9" i="9" s="1"/>
  <c r="E8" i="9"/>
  <c r="D8" i="9"/>
  <c r="F8" i="9" s="1"/>
  <c r="C8" i="9"/>
  <c r="E7" i="9"/>
  <c r="D7" i="9"/>
  <c r="C7" i="9"/>
  <c r="F7" i="9" s="1"/>
  <c r="F17" i="6"/>
  <c r="E17" i="6"/>
  <c r="D17" i="6"/>
  <c r="F8" i="6"/>
  <c r="E8" i="6"/>
  <c r="D8" i="6"/>
  <c r="D9" i="5"/>
  <c r="E9" i="5" s="1"/>
  <c r="F9" i="5" s="1"/>
  <c r="D7" i="5"/>
  <c r="E7" i="5" s="1"/>
  <c r="F7" i="5" s="1"/>
  <c r="F21" i="4"/>
  <c r="E21" i="4"/>
  <c r="D21" i="4"/>
  <c r="F20" i="4"/>
  <c r="E20" i="4"/>
  <c r="D20" i="4"/>
  <c r="F16" i="4"/>
  <c r="E16" i="4"/>
  <c r="D16" i="4"/>
  <c r="E14" i="4"/>
  <c r="E17" i="4" s="1"/>
  <c r="F13" i="4"/>
  <c r="E13" i="4"/>
  <c r="D13" i="4"/>
  <c r="F12" i="4"/>
  <c r="E12" i="4"/>
  <c r="D12" i="4"/>
  <c r="F9" i="4"/>
  <c r="E9" i="4"/>
  <c r="D9" i="4"/>
  <c r="E8" i="4"/>
  <c r="E10" i="4" s="1"/>
  <c r="D8" i="4"/>
  <c r="F7" i="4"/>
  <c r="F8" i="4" s="1"/>
  <c r="E7" i="4"/>
  <c r="D7" i="4"/>
  <c r="F24" i="3"/>
  <c r="E24" i="3"/>
  <c r="D24" i="3"/>
  <c r="F23" i="3"/>
  <c r="F26" i="3" s="1"/>
  <c r="E23" i="3"/>
  <c r="E26" i="3" s="1"/>
  <c r="D23" i="3"/>
  <c r="D26" i="3" s="1"/>
  <c r="F21" i="3"/>
  <c r="E21" i="3"/>
  <c r="D21" i="3"/>
  <c r="D19" i="3"/>
  <c r="C14" i="9" s="1"/>
  <c r="D18" i="3"/>
  <c r="D17" i="3"/>
  <c r="F16" i="3"/>
  <c r="E16" i="3"/>
  <c r="E14" i="2" s="1"/>
  <c r="D16" i="1" s="1"/>
  <c r="D16" i="3"/>
  <c r="F15" i="3"/>
  <c r="F18" i="3" s="1"/>
  <c r="E15" i="3"/>
  <c r="E18" i="3" s="1"/>
  <c r="D15" i="3"/>
  <c r="F12" i="3"/>
  <c r="D10" i="3"/>
  <c r="F9" i="3"/>
  <c r="E9" i="3"/>
  <c r="D9" i="3"/>
  <c r="F8" i="3"/>
  <c r="E8" i="3"/>
  <c r="D8" i="3"/>
  <c r="D12" i="3" s="1"/>
  <c r="F7" i="3"/>
  <c r="F10" i="3" s="1"/>
  <c r="E7" i="3"/>
  <c r="E12" i="3" s="1"/>
  <c r="D7" i="3"/>
  <c r="D11" i="3" s="1"/>
  <c r="D13" i="3" s="1"/>
  <c r="D22" i="3" s="1"/>
  <c r="F14" i="2"/>
  <c r="E16" i="1" s="1"/>
  <c r="D14" i="2"/>
  <c r="F8" i="2"/>
  <c r="E8" i="2"/>
  <c r="D8" i="2"/>
  <c r="C31" i="1"/>
  <c r="C30" i="1"/>
  <c r="C29" i="1"/>
  <c r="C16" i="1"/>
  <c r="E10" i="1"/>
  <c r="D10" i="1"/>
  <c r="C10" i="1"/>
  <c r="F10" i="4" l="1"/>
  <c r="F14" i="4"/>
  <c r="F17" i="4" s="1"/>
  <c r="D24" i="4"/>
  <c r="D12" i="2" s="1"/>
  <c r="D25" i="3"/>
  <c r="D7" i="2"/>
  <c r="D11" i="9"/>
  <c r="E10" i="2"/>
  <c r="E17" i="3"/>
  <c r="E19" i="3" s="1"/>
  <c r="D14" i="9" s="1"/>
  <c r="F14" i="9" s="1"/>
  <c r="E15" i="4"/>
  <c r="E18" i="4" s="1"/>
  <c r="E19" i="4" s="1"/>
  <c r="D8" i="5"/>
  <c r="E8" i="5" s="1"/>
  <c r="F8" i="5" s="1"/>
  <c r="E10" i="3"/>
  <c r="E11" i="3"/>
  <c r="F17" i="3"/>
  <c r="F19" i="3" s="1"/>
  <c r="E14" i="9" s="1"/>
  <c r="C15" i="5"/>
  <c r="D15" i="5" s="1"/>
  <c r="C14" i="5"/>
  <c r="D14" i="5" s="1"/>
  <c r="E14" i="5" s="1"/>
  <c r="F11" i="3"/>
  <c r="F13" i="3" s="1"/>
  <c r="F22" i="3" s="1"/>
  <c r="D10" i="4"/>
  <c r="D14" i="4"/>
  <c r="D17" i="4" s="1"/>
  <c r="C16" i="5"/>
  <c r="D16" i="5" s="1"/>
  <c r="E15" i="5" l="1"/>
  <c r="F25" i="3"/>
  <c r="F24" i="4"/>
  <c r="F12" i="2" s="1"/>
  <c r="F25" i="4"/>
  <c r="F13" i="2" s="1"/>
  <c r="F7" i="2"/>
  <c r="E16" i="5"/>
  <c r="E11" i="2"/>
  <c r="D12" i="9"/>
  <c r="E26" i="4"/>
  <c r="E13" i="3"/>
  <c r="E22" i="3" s="1"/>
  <c r="D9" i="2"/>
  <c r="C10" i="9"/>
  <c r="D15" i="4"/>
  <c r="D18" i="4" s="1"/>
  <c r="D19" i="4" s="1"/>
  <c r="F15" i="4"/>
  <c r="F18" i="4" s="1"/>
  <c r="F19" i="4"/>
  <c r="D15" i="2"/>
  <c r="C15" i="1" s="1"/>
  <c r="C13" i="1"/>
  <c r="C11" i="9"/>
  <c r="F11" i="9" s="1"/>
  <c r="D10" i="2"/>
  <c r="B31" i="1"/>
  <c r="C9" i="1"/>
  <c r="F26" i="4"/>
  <c r="F10" i="2"/>
  <c r="E11" i="9"/>
  <c r="D11" i="1"/>
  <c r="F30" i="1"/>
  <c r="D11" i="2" l="1"/>
  <c r="C12" i="9"/>
  <c r="D25" i="4"/>
  <c r="D13" i="2" s="1"/>
  <c r="D26" i="4"/>
  <c r="E9" i="1"/>
  <c r="B29" i="1"/>
  <c r="F16" i="2"/>
  <c r="E14" i="1"/>
  <c r="F15" i="2"/>
  <c r="E15" i="1" s="1"/>
  <c r="E13" i="1"/>
  <c r="D12" i="1"/>
  <c r="G30" i="1"/>
  <c r="F31" i="1"/>
  <c r="C11" i="1"/>
  <c r="E24" i="4"/>
  <c r="E12" i="2" s="1"/>
  <c r="E7" i="2"/>
  <c r="E25" i="3"/>
  <c r="E25" i="4"/>
  <c r="E13" i="2" s="1"/>
  <c r="E10" i="9"/>
  <c r="F9" i="2"/>
  <c r="F11" i="2"/>
  <c r="E12" i="9"/>
  <c r="F29" i="1"/>
  <c r="E11" i="1"/>
  <c r="E12" i="1" l="1"/>
  <c r="G29" i="1"/>
  <c r="D16" i="2"/>
  <c r="C14" i="1"/>
  <c r="D9" i="1"/>
  <c r="B30" i="1"/>
  <c r="E16" i="2"/>
  <c r="D14" i="1"/>
  <c r="F12" i="9"/>
  <c r="E15" i="2"/>
  <c r="D15" i="1" s="1"/>
  <c r="D13" i="1"/>
  <c r="E9" i="2"/>
  <c r="D10" i="9"/>
  <c r="F10" i="9" s="1"/>
  <c r="G31" i="1"/>
  <c r="C12" i="1"/>
</calcChain>
</file>

<file path=xl/sharedStrings.xml><?xml version="1.0" encoding="utf-8"?>
<sst xmlns="http://schemas.openxmlformats.org/spreadsheetml/2006/main" count="1057" uniqueCount="548">
  <si>
    <t>PT UNILEVER INDONESIA TBK - CORPORATE GHG RECONSTRUCTION</t>
  </si>
  <si>
    <t>Reporting years 2023-2025 | Operational control | Scope 1 and Scope 2 | Independent public-data reconstruction</t>
  </si>
  <si>
    <t>Status</t>
  </si>
  <si>
    <t>Independent reconstruction</t>
  </si>
  <si>
    <t>KEY RESULTS</t>
  </si>
  <si>
    <t>Metric</t>
  </si>
  <si>
    <t>Unit</t>
  </si>
  <si>
    <t>2025</t>
  </si>
  <si>
    <t>2024</t>
  </si>
  <si>
    <t>2023</t>
  </si>
  <si>
    <t>Evidence</t>
  </si>
  <si>
    <t>Management interpretation</t>
  </si>
  <si>
    <t>Reconstructed Scope 1</t>
  </si>
  <si>
    <t>tCO2e</t>
  </si>
  <si>
    <t>Model output</t>
  </si>
  <si>
    <t>Within QA tolerance of the reported total</t>
  </si>
  <si>
    <t>Company-reported Scope 1</t>
  </si>
  <si>
    <t>Company fact</t>
  </si>
  <si>
    <t>External benchmark</t>
  </si>
  <si>
    <t>Scope 2 location-based</t>
  </si>
  <si>
    <t>Proxy model output</t>
  </si>
  <si>
    <t>Uses 2019 JAMALI factor; factor vintage is a limitation</t>
  </si>
  <si>
    <t>Scope 2 market-based</t>
  </si>
  <si>
    <t>Conditional output</t>
  </si>
  <si>
    <t>Zero depends on I-REC quality and retirement evidence</t>
  </si>
  <si>
    <t>Corporate Scope 1+2 - location-based</t>
  </si>
  <si>
    <t>Primary physical-grid footprint view</t>
  </si>
  <si>
    <t>Corporate Scope 1+2 - market-based</t>
  </si>
  <si>
    <t>Procurement-based view</t>
  </si>
  <si>
    <t>Revenue intensity - location-based</t>
  </si>
  <si>
    <t>tCO2e/Rp bn</t>
  </si>
  <si>
    <t>2023 not comparable; 2024 restated</t>
  </si>
  <si>
    <t>Biogenic CO2 memo</t>
  </si>
  <si>
    <t>tCO2</t>
  </si>
  <si>
    <t>Memo output</t>
  </si>
  <si>
    <t>Reported outside scopes</t>
  </si>
  <si>
    <t>KEY JUDGEMENTS</t>
  </si>
  <si>
    <t>Fuel mix</t>
  </si>
  <si>
    <t>Base case assumes 100% natural gas because the report does not disclose the gas/light-fuel split. Sensitivities show 5% and 10% HSD.</t>
  </si>
  <si>
    <t>Grid factor</t>
  </si>
  <si>
    <t>Base Scope 2 LB uses 0.80 tCO2/MWh, the latest official DJK JAMALI factor located; it is based on 2019 data and used as a proxy.</t>
  </si>
  <si>
    <t>Market-based</t>
  </si>
  <si>
    <t>The modeled zero is conditional. Public evidence is insufficient to confirm certificate serials, retirement, vintage and market matching.</t>
  </si>
  <si>
    <t>Comparability</t>
  </si>
  <si>
    <t>2025 includes 11 warehouses versus three in 2024, and ice cream factory data cover only Jan-Nov 2025.</t>
  </si>
  <si>
    <t>Completeness</t>
  </si>
  <si>
    <t>Scope 3 is not calculated. The workbook therefore does not represent the full value-chain footprint.</t>
  </si>
  <si>
    <t>Year</t>
  </si>
  <si>
    <t>Scope 2 LB</t>
  </si>
  <si>
    <t>Scope 2 MB</t>
  </si>
  <si>
    <t>CORPORATE GHG INVENTORY</t>
  </si>
  <si>
    <t>PT Unilever Indonesia Tbk - reconstructed Scope 1 and Scope 2 inventory; Scope 3 not calculated</t>
  </si>
  <si>
    <t>INVENTORY SUMMARY</t>
  </si>
  <si>
    <t>Scope</t>
  </si>
  <si>
    <t>Evidence class</t>
  </si>
  <si>
    <t>Interpretation</t>
  </si>
  <si>
    <t>Scope 1</t>
  </si>
  <si>
    <t>Includes fossil combustion, biomass CH4/N2O and adopted refrigerants</t>
  </si>
  <si>
    <t>UNVR SR 2025 p.184</t>
  </si>
  <si>
    <t>Variance vs company</t>
  </si>
  <si>
    <t>%</t>
  </si>
  <si>
    <t>QA metric</t>
  </si>
  <si>
    <t>Model comparison, not a conclusion of company error</t>
  </si>
  <si>
    <t>Scope 2</t>
  </si>
  <si>
    <t>Location-based reconstruction</t>
  </si>
  <si>
    <t>Uses 2019 JAMALI OM factor</t>
  </si>
  <si>
    <t>Market-based reconstruction - conditional</t>
  </si>
  <si>
    <t>Conditional model output</t>
  </si>
  <si>
    <t>Assumes 100% eligible retired I-RECs</t>
  </si>
  <si>
    <t>Scope 1+2</t>
  </si>
  <si>
    <t>Corporate total - location-based</t>
  </si>
  <si>
    <t>Primary physical-grid view</t>
  </si>
  <si>
    <t>Corporate total - market-based</t>
  </si>
  <si>
    <t>Dependent on certificate evidence</t>
  </si>
  <si>
    <t>Memo</t>
  </si>
  <si>
    <t>Biogenic CO2</t>
  </si>
  <si>
    <t>Intensity</t>
  </si>
  <si>
    <t>tCO2e / Rp billion</t>
  </si>
  <si>
    <t>2023 is not comparable; 2024 restated</t>
  </si>
  <si>
    <t>Revenue intensity - market-based</t>
  </si>
  <si>
    <t>Scope 3</t>
  </si>
  <si>
    <t>Value-chain emissions</t>
  </si>
  <si>
    <t>n.a.</t>
  </si>
  <si>
    <t>Not available</t>
  </si>
  <si>
    <t>UNVR has not published sufficient Scope 3 activity data</t>
  </si>
  <si>
    <t>INVENTORY BOUNDARY</t>
  </si>
  <si>
    <t>Organisational boundary</t>
  </si>
  <si>
    <t>Operational control</t>
  </si>
  <si>
    <t>Source</t>
  </si>
  <si>
    <t>UNVR SR 2025 p.185</t>
  </si>
  <si>
    <t>Operational coverage</t>
  </si>
  <si>
    <t>Manufacturing, warehouse logistics and Grha Unilever</t>
  </si>
  <si>
    <t>UNVR SR 2025 pp.184-185</t>
  </si>
  <si>
    <t>Reporting period</t>
  </si>
  <si>
    <t>Calendar year; ice cream factory Jan-Nov 2025</t>
  </si>
  <si>
    <t>UNVR SR 2025 p.182</t>
  </si>
  <si>
    <t>GHGs included</t>
  </si>
  <si>
    <t>CO2, CH4 and N2O in reconstructed combustion; adopted refrigerant total</t>
  </si>
  <si>
    <t>Method</t>
  </si>
  <si>
    <t>Refrigerant gas details unavailable</t>
  </si>
  <si>
    <t>Excluded</t>
  </si>
  <si>
    <t>Scope 3; upstream fuel/electricity life-cycle emissions; solar life-cycle emissions</t>
  </si>
  <si>
    <t>Limitation</t>
  </si>
  <si>
    <t>Insufficient activity data</t>
  </si>
  <si>
    <t>SCOPE 1 RECONSTRUCTION</t>
  </si>
  <si>
    <t>Stationary fossil combustion + biomass non-CO2 + adopted fugitive emissions</t>
  </si>
  <si>
    <t>CALCULATION</t>
  </si>
  <si>
    <t>Line item</t>
  </si>
  <si>
    <t>Classification</t>
  </si>
  <si>
    <t>Notes</t>
  </si>
  <si>
    <t>Non-renewable on-site energy</t>
  </si>
  <si>
    <t>GJ</t>
  </si>
  <si>
    <t>Gas and light fuel combined</t>
  </si>
  <si>
    <t>Natural gas share</t>
  </si>
  <si>
    <t>Assumption</t>
  </si>
  <si>
    <t>Editable in Assumptions</t>
  </si>
  <si>
    <t>HSD/light-fuel share</t>
  </si>
  <si>
    <t>Calculated</t>
  </si>
  <si>
    <t>1 - natural gas share</t>
  </si>
  <si>
    <t>Fossil CO2</t>
  </si>
  <si>
    <t>Energy x fuel-specific CO2 EF</t>
  </si>
  <si>
    <t>National Tier 2 CO2 factors</t>
  </si>
  <si>
    <t>Fossil CH4</t>
  </si>
  <si>
    <t>Energy x CH4 EF x GWP</t>
  </si>
  <si>
    <t>IPCC default non-CO2 factor</t>
  </si>
  <si>
    <t>Fossil N2O</t>
  </si>
  <si>
    <t>Energy x N2O EF x GWP</t>
  </si>
  <si>
    <t>Stationary fossil combustion total</t>
  </si>
  <si>
    <t>CO2 + CH4 + N2O</t>
  </si>
  <si>
    <t>On-site biomass</t>
  </si>
  <si>
    <t>Woodchips</t>
  </si>
  <si>
    <t>Energy x wood CO2 EF</t>
  </si>
  <si>
    <t>Calculated memo</t>
  </si>
  <si>
    <t>Excluded from scopes</t>
  </si>
  <si>
    <t>Biomass CH4</t>
  </si>
  <si>
    <t>Included in Scope 1</t>
  </si>
  <si>
    <t>Biomass N2O</t>
  </si>
  <si>
    <t>Biomass non-CO2 total</t>
  </si>
  <si>
    <t>CH4 + N2O</t>
  </si>
  <si>
    <t>Fugitive refrigerants</t>
  </si>
  <si>
    <t>Adopt reported total</t>
  </si>
  <si>
    <t>Adopted company fact</t>
  </si>
  <si>
    <t>Not independently reconstructable</t>
  </si>
  <si>
    <t>Fossil + biomass non-CO2 + fugitive</t>
  </si>
  <si>
    <t>Independent estimate</t>
  </si>
  <si>
    <t>Company-reported stationary combustion</t>
  </si>
  <si>
    <t>p.184</t>
  </si>
  <si>
    <t>Variance vs company-reported Scope 1</t>
  </si>
  <si>
    <t>(Reconstructed - reported) / reported</t>
  </si>
  <si>
    <t>Not proof of accuracy</t>
  </si>
  <si>
    <t>Implied company stationary EF</t>
  </si>
  <si>
    <t>tCO2e/GJ</t>
  </si>
  <si>
    <t>Reported stationary / non-renewable energy</t>
  </si>
  <si>
    <t>Diagnostic</t>
  </si>
  <si>
    <t>Below selected natural-gas EF in all years</t>
  </si>
  <si>
    <t>SCOPE 2 RECONSTRUCTION</t>
  </si>
  <si>
    <t>Dual reporting with a location-based proxy and conditional market-based result</t>
  </si>
  <si>
    <t>Purchased grid electricity</t>
  </si>
  <si>
    <t>Reported as purchased renewable electricity via unbundled RECs</t>
  </si>
  <si>
    <t>MWh</t>
  </si>
  <si>
    <t>GJ / 3.6</t>
  </si>
  <si>
    <t>Physical grid electricity for location-based reporting</t>
  </si>
  <si>
    <t>JAMALI grid factor</t>
  </si>
  <si>
    <t>tCO2/MWh</t>
  </si>
  <si>
    <t>External proxy</t>
  </si>
  <si>
    <t>2019 operating-margin factor</t>
  </si>
  <si>
    <t>MWh x grid factor</t>
  </si>
  <si>
    <t>Not company-published</t>
  </si>
  <si>
    <t>I-REC coverage</t>
  </si>
  <si>
    <t>Conditional assumption</t>
  </si>
  <si>
    <t>100% inferred; public retirement evidence unavailable</t>
  </si>
  <si>
    <t>I-REC factor</t>
  </si>
  <si>
    <t>tCO2e/MWh</t>
  </si>
  <si>
    <t>Zero only if Scope 2 Quality Criteria are met</t>
  </si>
  <si>
    <t>MWh covered by I-RECs</t>
  </si>
  <si>
    <t>MWh x coverage</t>
  </si>
  <si>
    <t>MWh not covered</t>
  </si>
  <si>
    <t>MWh - covered MWh</t>
  </si>
  <si>
    <t>Uncovered electricity factor</t>
  </si>
  <si>
    <t>Proxy</t>
  </si>
  <si>
    <t>Location-based factor used because residual mix was not located</t>
  </si>
  <si>
    <t>Covered electricity emissions</t>
  </si>
  <si>
    <t>Covered MWh x instrument EF</t>
  </si>
  <si>
    <t>Conditional</t>
  </si>
  <si>
    <t>Uncovered electricity emissions</t>
  </si>
  <si>
    <t>Uncovered MWh x residual proxy</t>
  </si>
  <si>
    <t>Scope 2 market-based - conditional</t>
  </si>
  <si>
    <t>Covered + uncovered emissions</t>
  </si>
  <si>
    <t>Not assurance-ready without instrument evidence</t>
  </si>
  <si>
    <t>Company Scope 2 table disclosure</t>
  </si>
  <si>
    <t>text</t>
  </si>
  <si>
    <t>Company display</t>
  </si>
  <si>
    <t>Dash retained from p.184</t>
  </si>
  <si>
    <t>Company Scope 2 reduction-table disclosure</t>
  </si>
  <si>
    <t>2024 is dash / not reported</t>
  </si>
  <si>
    <t>Evidence status</t>
  </si>
  <si>
    <t>Assessment</t>
  </si>
  <si>
    <t>Review status</t>
  </si>
  <si>
    <t>Certificate serials, retirement, vintage and market matching not public</t>
  </si>
  <si>
    <t>Reconstructed Scope 1 + Scope 2 LB</t>
  </si>
  <si>
    <t>Primary operational footprint view</t>
  </si>
  <si>
    <t>Reconstructed Scope 1 + Scope 2 MB</t>
  </si>
  <si>
    <t>Dependent on I-REC evidence</t>
  </si>
  <si>
    <t>Scope 2 LB minus MB</t>
  </si>
  <si>
    <t>Procurement effect indicator</t>
  </si>
  <si>
    <t>Not avoided emissions</t>
  </si>
  <si>
    <t>SENSITIVITY ANALYSIS</t>
  </si>
  <si>
    <t>Shows how undisclosed fuel mix and grid factor selection affect the reconstructed inventory</t>
  </si>
  <si>
    <t>2025 FUEL-MIX SENSITIVITY</t>
  </si>
  <si>
    <t>Scenario</t>
  </si>
  <si>
    <t>Natural gas</t>
  </si>
  <si>
    <t>HSD</t>
  </si>
  <si>
    <t>Fossil combustion</t>
  </si>
  <si>
    <t>Scope 1 total</t>
  </si>
  <si>
    <t>Variance vs reported</t>
  </si>
  <si>
    <t>Base - gas only</t>
  </si>
  <si>
    <t>Minimum-factor credible case</t>
  </si>
  <si>
    <t>Low HSD</t>
  </si>
  <si>
    <t>Small light-fuel use</t>
  </si>
  <si>
    <t>Stress HSD</t>
  </si>
  <si>
    <t>Higher light-fuel use</t>
  </si>
  <si>
    <t>2025 GRID-FACTOR SENSITIVITY</t>
  </si>
  <si>
    <t>Factor case</t>
  </si>
  <si>
    <t>Grid EF</t>
  </si>
  <si>
    <t>Corporate Scope 1+2 LB</t>
  </si>
  <si>
    <t>Delta vs base</t>
  </si>
  <si>
    <t>Source / use</t>
  </si>
  <si>
    <t>DJK 2019 OM</t>
  </si>
  <si>
    <t>Base proxy</t>
  </si>
  <si>
    <t>Operating margin; latest official DJK factor located</t>
  </si>
  <si>
    <t>DJK 2019 CM 75/25</t>
  </si>
  <si>
    <t>Sensitivity only</t>
  </si>
  <si>
    <t>Combined margin developed for mitigation accounting</t>
  </si>
  <si>
    <t>DJK 2019 CM 50/50</t>
  </si>
  <si>
    <t>Upper factor in the cited Kepmen table</t>
  </si>
  <si>
    <t>ASSUMPTIONS AND CONTROLS</t>
  </si>
  <si>
    <t>Yellow cells are editable. Base choices prioritize transparent, reproducible assumptions over forced reconciliation.</t>
  </si>
  <si>
    <t>ACTIVE MODEL INPUTS</t>
  </si>
  <si>
    <t>ID</t>
  </si>
  <si>
    <t>Driver</t>
  </si>
  <si>
    <t>Rationale</t>
  </si>
  <si>
    <t>A-FUEL-NG</t>
  </si>
  <si>
    <t>Natural gas share of non-renewable on-site energy</t>
  </si>
  <si>
    <t>Report names gas and light fuel but provides no split; gas-only is the minimum-factor credible case</t>
  </si>
  <si>
    <t>A-FUEL-HSD</t>
  </si>
  <si>
    <t>HSD/light fuel share</t>
  </si>
  <si>
    <t>Equals 1 minus natural gas share</t>
  </si>
  <si>
    <t>A-GWP-CH4</t>
  </si>
  <si>
    <t>CH4 GWP100</t>
  </si>
  <si>
    <t>tCO2e/t CH4</t>
  </si>
  <si>
    <t>IPCC AR5; company vintage not disclosed</t>
  </si>
  <si>
    <t>A-GWP-N2O</t>
  </si>
  <si>
    <t>N2O GWP100</t>
  </si>
  <si>
    <t>tCO2e/t N2O</t>
  </si>
  <si>
    <t>A-GRID-EF</t>
  </si>
  <si>
    <t>JAMALI location-based proxy</t>
  </si>
  <si>
    <t>Latest official DJK factor located is based on 2019 data; PLN 2025 still refers to DJK 2019</t>
  </si>
  <si>
    <t>A-GRID-YR</t>
  </si>
  <si>
    <t>Grid factor data vintage</t>
  </si>
  <si>
    <t>year</t>
  </si>
  <si>
    <t>External fact</t>
  </si>
  <si>
    <t>Factor vintage, not reporting year</t>
  </si>
  <si>
    <t>A-REC-COVER</t>
  </si>
  <si>
    <t>Grid electricity matched by unbundled RECs</t>
  </si>
  <si>
    <t>Inferred from UNVR energy table; certificate serials and retirement evidence are not public</t>
  </si>
  <si>
    <t>A-REC-EF</t>
  </si>
  <si>
    <t>Eligible I-REC emission factor</t>
  </si>
  <si>
    <t>Use only if GHG Protocol Scope 2 Quality Criteria are met</t>
  </si>
  <si>
    <t>A-RESIDUAL</t>
  </si>
  <si>
    <t>Uses location-based proxy because an Indonesia residual mix was not located</t>
  </si>
  <si>
    <t>A-QA-TOL</t>
  </si>
  <si>
    <t>Scope 1 reconciliation tolerance</t>
  </si>
  <si>
    <t>Control</t>
  </si>
  <si>
    <t>Model QA threshold; not a materiality threshold</t>
  </si>
  <si>
    <t>A-FUGITIVE</t>
  </si>
  <si>
    <t>Fugitive emissions method</t>
  </si>
  <si>
    <t>No refrigerant type, charge, leakage or GWP data disclosed</t>
  </si>
  <si>
    <t>A-SCOPE3</t>
  </si>
  <si>
    <t>Scope 3 treatment</t>
  </si>
  <si>
    <t>Not calculated</t>
  </si>
  <si>
    <t>Completeness limitation</t>
  </si>
  <si>
    <t>UNVR states that Scope 3 data and methodology are still under development</t>
  </si>
  <si>
    <t>ASSUMPTION REGISTER</t>
  </si>
  <si>
    <t>Topic</t>
  </si>
  <si>
    <t>Base choice</t>
  </si>
  <si>
    <t>Why used</t>
  </si>
  <si>
    <t>Key uncertainty</t>
  </si>
  <si>
    <t>Direction of bias</t>
  </si>
  <si>
    <t>Evidence needed</t>
  </si>
  <si>
    <t>Owner</t>
  </si>
  <si>
    <t>Fuel split</t>
  </si>
  <si>
    <t>100% natural gas</t>
  </si>
  <si>
    <t>Actual light-fuel share unknown</t>
  </si>
  <si>
    <t>More diesel increases Scope 1</t>
  </si>
  <si>
    <t>Fuel purchase/consumption by type</t>
  </si>
  <si>
    <t>Model user</t>
  </si>
  <si>
    <t>Open</t>
  </si>
  <si>
    <t>0.80 tCO2/MWh</t>
  </si>
  <si>
    <t>Latest official DJK factor located</t>
  </si>
  <si>
    <t>2019 vintage; OM is a proxy</t>
  </si>
  <si>
    <t>0.84-0.87 increases Scope 2</t>
  </si>
  <si>
    <t>Contemporaneous grid-average factor</t>
  </si>
  <si>
    <t>100%</t>
  </si>
  <si>
    <t>Energy table labels purchased electricity as unbundled RECs</t>
  </si>
  <si>
    <t>Retirement and matching evidence unavailable</t>
  </si>
  <si>
    <t>Lower coverage increases MB</t>
  </si>
  <si>
    <t>Certificate registry and retirement statement</t>
  </si>
  <si>
    <t>Residual mix</t>
  </si>
  <si>
    <t>Use LB proxy</t>
  </si>
  <si>
    <t>No Indonesia residual mix located</t>
  </si>
  <si>
    <t>Potential double counting of renewable attributes</t>
  </si>
  <si>
    <t>Unknown</t>
  </si>
  <si>
    <t>Published residual-mix factor</t>
  </si>
  <si>
    <t>GWP vintage</t>
  </si>
  <si>
    <t>IPCC AR5</t>
  </si>
  <si>
    <t>Common corporate inventory basis</t>
  </si>
  <si>
    <t>UNVR does not disclose GWP vintage</t>
  </si>
  <si>
    <t>Small for combustion; material for refrigerants</t>
  </si>
  <si>
    <t>Company methodology note</t>
  </si>
  <si>
    <t>Refrigerants</t>
  </si>
  <si>
    <t>No activity detail disclosed</t>
  </si>
  <si>
    <t>Cannot independently reconstruct</t>
  </si>
  <si>
    <t>Gas type, charge, leakage and GWP</t>
  </si>
  <si>
    <t>UNVR</t>
  </si>
  <si>
    <t>Adopted</t>
  </si>
  <si>
    <t>No sufficient activity data</t>
  </si>
  <si>
    <t>Corporate footprint incomplete</t>
  </si>
  <si>
    <t>Material understatement of value-chain footprint</t>
  </si>
  <si>
    <t>Category-level Scope 3 activity data</t>
  </si>
  <si>
    <t>SOURCE DATA</t>
  </si>
  <si>
    <t>Facts transcribed from PT Unilever Indonesia Tbk Sustainability Report 2025</t>
  </si>
  <si>
    <t>ENERGY CONSUMPTION</t>
  </si>
  <si>
    <t>Category</t>
  </si>
  <si>
    <t>Energy</t>
  </si>
  <si>
    <t>UNVR SR 2025, pp.189-190</t>
  </si>
  <si>
    <t>On-site solar PV</t>
  </si>
  <si>
    <t>Purchased grid electricity represented by unbundled RECs</t>
  </si>
  <si>
    <t>Company fact; interpretation required</t>
  </si>
  <si>
    <t>Total energy consumption</t>
  </si>
  <si>
    <t>UNVR SR 2025, pp.187-190</t>
  </si>
  <si>
    <t>ENERGY BY ORGANISATIONAL AREA</t>
  </si>
  <si>
    <t>Head office energy</t>
  </si>
  <si>
    <t>UNVR SR 2025, p.188</t>
  </si>
  <si>
    <t>Manufacturing energy</t>
  </si>
  <si>
    <t>Warehouse energy</t>
  </si>
  <si>
    <t>REPORTED EMISSIONS</t>
  </si>
  <si>
    <t>Stationary combustion - gas and light fuel</t>
  </si>
  <si>
    <t>UNVR SR 2025, p.184</t>
  </si>
  <si>
    <t>Company fact; no gas/mass/GWP detail</t>
  </si>
  <si>
    <t>Scope 2 table disclosure</t>
  </si>
  <si>
    <t>-</t>
  </si>
  <si>
    <t>Company display; dash retained</t>
  </si>
  <si>
    <t>Scope 2 reduction table disclosure</t>
  </si>
  <si>
    <t>UNVR SR 2025, p.186</t>
  </si>
  <si>
    <t>2024 shown as dash</t>
  </si>
  <si>
    <t>FINANCIAL AND TARGET DATA</t>
  </si>
  <si>
    <t>Financial</t>
  </si>
  <si>
    <t>Net sales</t>
  </si>
  <si>
    <t>Rp million</t>
  </si>
  <si>
    <t>UNVR SR 2025, p.73</t>
  </si>
  <si>
    <t>2025 continuing operations; 2024 restated</t>
  </si>
  <si>
    <t>Target</t>
  </si>
  <si>
    <t>Reported Scope 1+2 reduction from 2015</t>
  </si>
  <si>
    <t>Company KPI; manufacturing wording</t>
  </si>
  <si>
    <t>BOUNDARY AND COMPARABILITY FACTS</t>
  </si>
  <si>
    <t>Boundary</t>
  </si>
  <si>
    <t>Consolidation approach</t>
  </si>
  <si>
    <t>UNVR SR 2025, p.185</t>
  </si>
  <si>
    <t>Included operations</t>
  </si>
  <si>
    <t>UNVR SR 2025, pp.184-185</t>
  </si>
  <si>
    <t>Warehouses included</t>
  </si>
  <si>
    <t>count</t>
  </si>
  <si>
    <t>Boundary expanded in 2025</t>
  </si>
  <si>
    <t>Ice cream reporting period</t>
  </si>
  <si>
    <t>Jan-Nov 2025</t>
  </si>
  <si>
    <t>UNVR SR 2025, p.182</t>
  </si>
  <si>
    <t>Partial-year 2025</t>
  </si>
  <si>
    <t>Not published</t>
  </si>
  <si>
    <t>UNVR SR 2025, pp.184 and 190</t>
  </si>
  <si>
    <t>Data collection/method development</t>
  </si>
  <si>
    <t>EMISSION FACTOR LIBRARY</t>
  </si>
  <si>
    <t>National factors where available; IPCC defaults for non-CO2 gases; all vintages and limitations shown</t>
  </si>
  <si>
    <t>FACTOR REGISTER</t>
  </si>
  <si>
    <t>Factor</t>
  </si>
  <si>
    <t>Gas</t>
  </si>
  <si>
    <t>Original unit</t>
  </si>
  <si>
    <t>Value</t>
  </si>
  <si>
    <t>Use in model</t>
  </si>
  <si>
    <t>Applicability / limitation</t>
  </si>
  <si>
    <t>EF-NG-CO2</t>
  </si>
  <si>
    <t>Natural gas combustion</t>
  </si>
  <si>
    <t>CO2</t>
  </si>
  <si>
    <t>kg/TJ</t>
  </si>
  <si>
    <t>Scope 1 fossil combustion</t>
  </si>
  <si>
    <t>KESDM 2018, Annex 4</t>
  </si>
  <si>
    <t>Indonesia Tier 2 CO2 factor</t>
  </si>
  <si>
    <t>EF-NG-CH4</t>
  </si>
  <si>
    <t>CH4</t>
  </si>
  <si>
    <t>IPCC 2006 via KESDM 2018, Annex 3</t>
  </si>
  <si>
    <t>Default non-CO2 factor</t>
  </si>
  <si>
    <t>EF-NG-N2O</t>
  </si>
  <si>
    <t>N2O</t>
  </si>
  <si>
    <t>EF-HSD-CO2</t>
  </si>
  <si>
    <t>Gas oil / HSD combustion</t>
  </si>
  <si>
    <t>EF-HSD-CH4</t>
  </si>
  <si>
    <t>EF-HSD-N2O</t>
  </si>
  <si>
    <t>EF-WOOD-CO2</t>
  </si>
  <si>
    <t>Wood / wood waste combustion</t>
  </si>
  <si>
    <t>Biogenic memo only</t>
  </si>
  <si>
    <t>EF-WOOD-CH4</t>
  </si>
  <si>
    <t>Scope 1 biomass non-CO2</t>
  </si>
  <si>
    <t>EF-WOOD-N2O</t>
  </si>
  <si>
    <t>EF-JAMALI-OM</t>
  </si>
  <si>
    <t>JAMALI operating margin</t>
  </si>
  <si>
    <t>Base Scope 2 LB proxy</t>
  </si>
  <si>
    <t>Kepmen ESDM 163.K/2021; 2019 data</t>
  </si>
  <si>
    <t>Latest official DJK factor located; not a contemporaneous grid-average</t>
  </si>
  <si>
    <t>EF-JAMALI-CM75</t>
  </si>
  <si>
    <t>JAMALI combined margin ex-post 75/25</t>
  </si>
  <si>
    <t>Mitigation-project factor</t>
  </si>
  <si>
    <t>EF-JAMALI-CM50</t>
  </si>
  <si>
    <t>JAMALI combined margin ex-post 50/50</t>
  </si>
  <si>
    <t>EF-IREC</t>
  </si>
  <si>
    <t>Renewable electricity instrument</t>
  </si>
  <si>
    <t>CO2e</t>
  </si>
  <si>
    <t>Conditional Scope 2 MB</t>
  </si>
  <si>
    <t>GHG Protocol Scope 2 Guidance</t>
  </si>
  <si>
    <t>Only if certificate quality criteria and retirement are evidenced</t>
  </si>
  <si>
    <t>GWP-CH4</t>
  </si>
  <si>
    <t>Global warming potential</t>
  </si>
  <si>
    <t>tCO2e/t gas</t>
  </si>
  <si>
    <t>CO2e conversion</t>
  </si>
  <si>
    <t>IPCC AR5 assumption</t>
  </si>
  <si>
    <t>Company GWP vintage not disclosed</t>
  </si>
  <si>
    <t>GWP-N2O</t>
  </si>
  <si>
    <t>QA AND RECONCILIATION</t>
  </si>
  <si>
    <t>Terminal checks only. No business calculation depends on this sheet.</t>
  </si>
  <si>
    <t>AUTOMATED AND REVIEW CHECKS</t>
  </si>
  <si>
    <t>Check</t>
  </si>
  <si>
    <t>Expected</t>
  </si>
  <si>
    <t>Energy source rows reconcile to total</t>
  </si>
  <si>
    <t>0.00 GJ</t>
  </si>
  <si>
    <t>Company Scope 1 components reconcile</t>
  </si>
  <si>
    <t>0.00 tCO2e</t>
  </si>
  <si>
    <t>Fuel shares sum to 100%</t>
  </si>
  <si>
    <t>0.00%</t>
  </si>
  <si>
    <t>Scope 1 model variance within tolerance</t>
  </si>
  <si>
    <t>Within control</t>
  </si>
  <si>
    <t>Scope 2 location-based is positive</t>
  </si>
  <si>
    <t>&gt;0</t>
  </si>
  <si>
    <t>Scope 2 market-based is non-negative</t>
  </si>
  <si>
    <t>&gt;=0</t>
  </si>
  <si>
    <t>REC coverage is between 0% and 100%</t>
  </si>
  <si>
    <t>Valid range</t>
  </si>
  <si>
    <t>Biomass CH4 and N2O included in Scope 1</t>
  </si>
  <si>
    <t>I-REC quality and retirement evidence</t>
  </si>
  <si>
    <t>Evidence required</t>
  </si>
  <si>
    <t>Not public</t>
  </si>
  <si>
    <t>Grid factor reporting-year match</t>
  </si>
  <si>
    <t>Contemporaneous preferred</t>
  </si>
  <si>
    <t>2019 factor</t>
  </si>
  <si>
    <t>Scope 3 completeness</t>
  </si>
  <si>
    <t>Category data required</t>
  </si>
  <si>
    <t>RECONCILIATION COMMENTARY</t>
  </si>
  <si>
    <t>Reconstruction is not forced to equal the company total. Differences reflect fuel-mix assumptions, factor choices and inclusion of biomass CH4/N2O.</t>
  </si>
  <si>
    <t>The report does not publish a location-based total. This workbook provides a proxy based on the latest official DJK factor located, which uses 2019 data.</t>
  </si>
  <si>
    <t>A zero result is conditional on evidence that all certificates meet the Scope 2 Quality Criteria and were retired for the matching load and reporting period.</t>
  </si>
  <si>
    <t>No estimate is produced because public data are insufficient for a defensible category-level inventory.</t>
  </si>
  <si>
    <t>SOURCES AND METHODOLOGY NOTES</t>
  </si>
  <si>
    <t>Source register for factual data, emission factors and accounting rules</t>
  </si>
  <si>
    <t>SOURCE REGISTER</t>
  </si>
  <si>
    <t>Type</t>
  </si>
  <si>
    <t>Pages / section</t>
  </si>
  <si>
    <t>Used for</t>
  </si>
  <si>
    <t>Location</t>
  </si>
  <si>
    <t>Reliability / note</t>
  </si>
  <si>
    <t>SRC-01</t>
  </si>
  <si>
    <t>PT Unilever Indonesia Tbk Sustainability Report 2025</t>
  </si>
  <si>
    <t>Company report</t>
  </si>
  <si>
    <t>pp.73, 182, 184-190, 313-316</t>
  </si>
  <si>
    <t>Activity data, reported emissions, boundary and comparability</t>
  </si>
  <si>
    <t>D:/Hermes/projects/unvr-2025/Unilever Sustainability Report 2025.pdf</t>
  </si>
  <si>
    <t>Primary company disclosure; moderate external assurance at report level</t>
  </si>
  <si>
    <t>SRC-02</t>
  </si>
  <si>
    <t>Pedoman Penghitungan dan Pelaporan IGRK Bidang Energi Sub Bidang Ketenagalistrikan</t>
  </si>
  <si>
    <t>Government guidance</t>
  </si>
  <si>
    <t>Annexes 3-4</t>
  </si>
  <si>
    <t>National CO2 factors and IPCC non-CO2 defaults</t>
  </si>
  <si>
    <t>D:/Hermes/Career/Indonesia/Pedoman IGRK Pembangkit 2018.pdf</t>
  </si>
  <si>
    <t>Primary Indonesian guidance; power-sector context disclosed</t>
  </si>
  <si>
    <t>SRC-03</t>
  </si>
  <si>
    <t>Kepmen ESDM No. 163.K/HK.02/MEM.S/2021</t>
  </si>
  <si>
    <t>Government decision</t>
  </si>
  <si>
    <t>JAMALI row; 2019 data</t>
  </si>
  <si>
    <t>Grid-factor proxy and sensitivity</t>
  </si>
  <si>
    <t>D:/Hermes/Career/Indonesia/Kepmen ESDM 163.K 2021.pdf</t>
  </si>
  <si>
    <t>Official factor; designed for mitigation accounting, not a contemporaneous grid average</t>
  </si>
  <si>
    <t>SRC-04</t>
  </si>
  <si>
    <t>GHG Protocol Corporate Standard</t>
  </si>
  <si>
    <t>Accounting standard</t>
  </si>
  <si>
    <t>Corporate inventory requirements</t>
  </si>
  <si>
    <t>Boundary and scope accounting</t>
  </si>
  <si>
    <t>https://ghgprotocol.org/corporate-standard</t>
  </si>
  <si>
    <t>Primary standard</t>
  </si>
  <si>
    <t>SRC-05</t>
  </si>
  <si>
    <t>Accounting guidance</t>
  </si>
  <si>
    <t>Dual reporting and Quality Criteria</t>
  </si>
  <si>
    <t>Scope 2 location-based and market-based methods</t>
  </si>
  <si>
    <t>https://ghgprotocol.org/sites/default/files/GHG%20Protocol%20Scope%202%20Guidance.pdf</t>
  </si>
  <si>
    <t>Primary standard; current published guidance</t>
  </si>
  <si>
    <t>SRC-06</t>
  </si>
  <si>
    <t>2006 IPCC Guidelines, Volume 2 Energy</t>
  </si>
  <si>
    <t>Technical guideline</t>
  </si>
  <si>
    <t>Chapter 2 stationary combustion</t>
  </si>
  <si>
    <t>Non-CO2 combustion factors</t>
  </si>
  <si>
    <t>https://www.ipcc-nggip.iges.or.jp/public/2006gl/vol2.html</t>
  </si>
  <si>
    <t>Primary technical source</t>
  </si>
  <si>
    <t>SRC-07</t>
  </si>
  <si>
    <t>PLN CDP Corporate Questionnaire 2025</t>
  </si>
  <si>
    <t>Utility disclosure</t>
  </si>
  <si>
    <t>Methodological details</t>
  </si>
  <si>
    <t>Confirmation that latest DJK electricity-system EF used remains 2019</t>
  </si>
  <si>
    <t>https://web.pln.co.id/statics/uploads/2025/11/CDP-Corporate-Questionnaire-2025.pdf</t>
  </si>
  <si>
    <t>Primary utility disclosure</t>
  </si>
  <si>
    <t>METHOD SUMMARY</t>
  </si>
  <si>
    <t>1</t>
  </si>
  <si>
    <t>Operational control consistent with the company report</t>
  </si>
  <si>
    <t>2</t>
  </si>
  <si>
    <t>Fossil CO2 uses Indonesian Tier 2 factors; CH4/N2O use IPCC defaults; biomass CO2 is memo-only; biomass CH4/N2O are included; fugitive emissions are adopted from the company</t>
  </si>
  <si>
    <t>3</t>
  </si>
  <si>
    <t>Purchased grid electricity is converted from GJ to MWh and multiplied by the 0.80 tCO2/MWh JAMALI OM proxy</t>
  </si>
  <si>
    <t>4</t>
  </si>
  <si>
    <t>Electricity is split between I-REC-covered and uncovered load; zero covered-load emissions are conditional on certificate evidence and Quality Criteria</t>
  </si>
  <si>
    <t>5</t>
  </si>
  <si>
    <t>Corporate Scope 1+2 divided by net sales in Rp billion; 2023 is not comparable and 2024 is restated</t>
  </si>
  <si>
    <t>6</t>
  </si>
  <si>
    <t>Reconciliation</t>
  </si>
  <si>
    <t>The model is compared with reported Scope 1 but is not calibrated to force an exact match</t>
  </si>
  <si>
    <t>7</t>
  </si>
  <si>
    <t>Scope 3 is explicitly excluded because category-level activity data are not available</t>
  </si>
  <si>
    <t>MATERIAL LIMITATIONS</t>
  </si>
  <si>
    <t>The report combines gas and light fuel. Base case assumes 100% natural gas; sensitivity shows higher HSD shares.</t>
  </si>
  <si>
    <t>No contemporaneous official corporate-inventory grid-average factor was located. The model uses DJK 2019 OM as a disclosed proxy.</t>
  </si>
  <si>
    <t>I-REC evidence</t>
  </si>
  <si>
    <t>Public reporting does not provide certificate serials, retirement evidence, vintage or load matching.</t>
  </si>
  <si>
    <t>The report provides only total tCO2e; gas type, charge, leakage and GWP are unavailable.</t>
  </si>
  <si>
    <t>2025 includes 11 warehouses versus three in 2024; ice cream factory data cover Jan-Nov 2025; net-sales perimeter changed.</t>
  </si>
  <si>
    <t>The inventory does not represent the full corporate value-chain footprint.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</si>
</sst>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"/>
    <numFmt numFmtId="165" formatCode="0.0%"/>
    <numFmt numFmtId="166" formatCode="0.000"/>
    <numFmt numFmtId="167" formatCode="0.000000"/>
    <numFmt numFmtId="168" formatCode="#,##0.000"/>
  </numFmts>
  <fonts count="9">
    <font>
      <sz val="11"/>
      <name val="Carlito"/>
    </font>
    <font>
      <sz val="10"/>
      <color rgb="FF1F1F1F"/>
      <name val="Arial"/>
    </font>
    <font>
      <b/>
      <sz val="16"/>
      <color rgb="FF17365D"/>
      <name val="Arial"/>
    </font>
    <font>
      <i/>
      <sz val="10"/>
      <color rgb="FF595959"/>
      <name val="Arial"/>
    </font>
    <font>
      <b/>
      <sz val="10"/>
      <color rgb="FFFFFFFF"/>
      <name val="Arial"/>
    </font>
    <font>
      <sz val="10"/>
      <color rgb="FF9C6500"/>
      <name val="Arial"/>
    </font>
    <font>
      <b/>
      <sz val="10"/>
      <color rgb="FF1F1F1F"/>
      <name val="Arial"/>
    </font>
    <font>
      <b/>
      <sz val="10"/>
      <color rgb="FF17365D"/>
      <name val="Arial"/>
    </font>
    <font>
      <b/>
      <sz val="10"/>
      <color rgb="FF9C57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6B5C"/>
      </patternFill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CE4D6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F6B5C"/>
      </bottom>
      <diagonal/>
    </border>
    <border>
      <left/>
      <right style="thin">
        <color rgb="FFFFFFFF"/>
      </right>
      <top/>
      <bottom style="thin">
        <color rgb="FF17365D"/>
      </bottom>
      <diagonal/>
    </border>
    <border>
      <left style="thin">
        <color rgb="FFFFFFFF"/>
      </left>
      <right style="thin">
        <color rgb="FFFFFFFF"/>
      </right>
      <top/>
      <bottom style="thin">
        <color rgb="FF17365D"/>
      </bottom>
      <diagonal/>
    </border>
    <border>
      <left style="thin">
        <color rgb="FFFFFFFF"/>
      </left>
      <right/>
      <top/>
      <bottom style="thin">
        <color rgb="FF17365D"/>
      </bottom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1" fillId="4" borderId="0" xfId="0" applyNumberFormat="1" applyFont="1" applyFill="1" applyBorder="1" applyAlignment="1">
      <alignment vertical="center"/>
    </xf>
    <xf numFmtId="0" fontId="1" fillId="4" borderId="5" xfId="0" applyNumberFormat="1" applyFont="1" applyFill="1" applyBorder="1" applyAlignment="1">
      <alignment vertical="center"/>
    </xf>
    <xf numFmtId="4" fontId="1" fillId="4" borderId="0" xfId="0" applyNumberFormat="1" applyFont="1" applyFill="1" applyBorder="1" applyAlignment="1">
      <alignment vertical="center"/>
    </xf>
    <xf numFmtId="4" fontId="1" fillId="4" borderId="5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3" fontId="1" fillId="4" borderId="0" xfId="0" applyNumberFormat="1" applyFont="1" applyFill="1" applyBorder="1" applyAlignment="1">
      <alignment vertical="center"/>
    </xf>
    <xf numFmtId="10" fontId="1" fillId="4" borderId="5" xfId="0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/>
    </xf>
    <xf numFmtId="164" fontId="1" fillId="4" borderId="0" xfId="0" applyNumberFormat="1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vertical="center"/>
    </xf>
    <xf numFmtId="0" fontId="5" fillId="5" borderId="0" xfId="0" applyNumberFormat="1" applyFont="1" applyFill="1" applyBorder="1" applyAlignment="1">
      <alignment vertical="center"/>
    </xf>
    <xf numFmtId="0" fontId="5" fillId="5" borderId="5" xfId="0" applyNumberFormat="1" applyFont="1" applyFill="1" applyBorder="1" applyAlignment="1">
      <alignment vertical="center"/>
    </xf>
    <xf numFmtId="165" fontId="5" fillId="5" borderId="0" xfId="0" applyNumberFormat="1" applyFont="1" applyFill="1" applyBorder="1" applyAlignment="1">
      <alignment vertical="center"/>
    </xf>
    <xf numFmtId="165" fontId="1" fillId="6" borderId="0" xfId="0" applyNumberFormat="1" applyFont="1" applyFill="1" applyBorder="1" applyAlignment="1">
      <alignment vertical="center"/>
    </xf>
    <xf numFmtId="1" fontId="5" fillId="5" borderId="0" xfId="0" applyNumberFormat="1" applyFont="1" applyFill="1" applyBorder="1" applyAlignment="1">
      <alignment vertical="center"/>
    </xf>
    <xf numFmtId="166" fontId="5" fillId="5" borderId="0" xfId="0" applyNumberFormat="1" applyFont="1" applyFill="1" applyBorder="1" applyAlignment="1">
      <alignment vertical="center"/>
    </xf>
    <xf numFmtId="166" fontId="1" fillId="6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4" fontId="1" fillId="6" borderId="0" xfId="0" applyNumberFormat="1" applyFont="1" applyFill="1" applyBorder="1" applyAlignment="1">
      <alignment vertical="center"/>
    </xf>
    <xf numFmtId="10" fontId="1" fillId="6" borderId="0" xfId="0" applyNumberFormat="1" applyFont="1" applyFill="1" applyBorder="1" applyAlignment="1">
      <alignment vertical="center"/>
    </xf>
    <xf numFmtId="167" fontId="1" fillId="6" borderId="5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4" fontId="6" fillId="6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4" fontId="7" fillId="6" borderId="0" xfId="0" applyNumberFormat="1" applyFont="1" applyFill="1" applyBorder="1" applyAlignment="1">
      <alignment vertical="center"/>
    </xf>
    <xf numFmtId="168" fontId="5" fillId="6" borderId="0" xfId="0" applyNumberFormat="1" applyFont="1" applyFill="1" applyBorder="1" applyAlignment="1">
      <alignment vertical="center"/>
    </xf>
    <xf numFmtId="4" fontId="5" fillId="5" borderId="0" xfId="0" applyNumberFormat="1" applyFont="1" applyFill="1" applyBorder="1" applyAlignment="1">
      <alignment vertical="center"/>
    </xf>
    <xf numFmtId="4" fontId="5" fillId="6" borderId="0" xfId="0" applyNumberFormat="1" applyFont="1" applyFill="1" applyBorder="1" applyAlignment="1">
      <alignment vertical="center"/>
    </xf>
    <xf numFmtId="4" fontId="1" fillId="6" borderId="5" xfId="0" applyNumberFormat="1" applyFont="1" applyFill="1" applyBorder="1" applyAlignment="1">
      <alignment vertical="center"/>
    </xf>
    <xf numFmtId="168" fontId="7" fillId="6" borderId="0" xfId="0" applyNumberFormat="1" applyFont="1" applyFill="1" applyBorder="1" applyAlignment="1">
      <alignment vertical="center"/>
    </xf>
    <xf numFmtId="165" fontId="5" fillId="5" borderId="5" xfId="0" applyNumberFormat="1" applyFont="1" applyFill="1" applyBorder="1" applyAlignment="1">
      <alignment vertical="center"/>
    </xf>
    <xf numFmtId="10" fontId="1" fillId="6" borderId="5" xfId="0" applyNumberFormat="1" applyFont="1" applyFill="1" applyBorder="1" applyAlignment="1">
      <alignment vertical="center"/>
    </xf>
    <xf numFmtId="2" fontId="5" fillId="5" borderId="0" xfId="0" applyNumberFormat="1" applyFont="1" applyFill="1" applyBorder="1" applyAlignment="1">
      <alignment vertical="center"/>
    </xf>
    <xf numFmtId="2" fontId="5" fillId="5" borderId="5" xfId="0" applyNumberFormat="1" applyFont="1" applyFill="1" applyBorder="1" applyAlignment="1">
      <alignment vertical="center"/>
    </xf>
    <xf numFmtId="10" fontId="1" fillId="0" borderId="0" xfId="0" applyNumberFormat="1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8" fillId="7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4" fontId="4" fillId="2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7">
    <dxf>
      <font>
        <b/>
        <color rgb="FF666666"/>
      </font>
      <fill>
        <patternFill patternType="solid">
          <bgColor rgb="FFF2F2F2"/>
        </patternFill>
      </fill>
    </dxf>
    <dxf>
      <font>
        <b/>
        <color rgb="FF9C5700"/>
      </font>
      <fill>
        <patternFill patternType="solid">
          <bgColor rgb="FFFCE4D6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5700"/>
      </font>
      <fill>
        <patternFill patternType="solid">
          <bgColor rgb="FFFCE4D6"/>
        </patternFill>
      </fill>
    </dxf>
    <dxf>
      <font>
        <b/>
        <color rgb="FF9C6500"/>
      </font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ID" sz="900">
                <a:latin typeface="Arial"/>
                <a:ea typeface="Arial"/>
                <a:cs typeface="Arial"/>
              </a:rPr>
              <a:t>Scope 1 reconstruction vs company report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Reconstructed Scope 1</c:v>
          </c:tx>
          <c:spPr>
            <a:ln w="19050">
              <a:solidFill>
                <a:srgbClr val="1F6B5C"/>
              </a:solidFill>
              <a:prstDash val="solid"/>
            </a:ln>
          </c:spPr>
          <c:marker>
            <c:symbol val="none"/>
          </c:marker>
          <c:cat>
            <c:strRef>
              <c:f>'Executive Summary'!$A$29:$A$31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strCache>
            </c:strRef>
          </c:cat>
          <c:val>
            <c:numRef>
              <c:f>'Executive Summary'!$B$29:$B$31</c:f>
              <c:numCache>
                <c:formatCode>#,##0</c:formatCode>
                <c:ptCount val="3"/>
                <c:pt idx="0">
                  <c:v>15330.197875785001</c:v>
                </c:pt>
                <c:pt idx="1">
                  <c:v>11418.889601299999</c:v>
                </c:pt>
                <c:pt idx="2">
                  <c:v>8097.3123204349986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1-4A07-ABA9-C3383F3E42C2}"/>
            </c:ext>
          </c:extLst>
        </c:ser>
        <c:ser>
          <c:idx val="1"/>
          <c:order val="1"/>
          <c:tx>
            <c:v>Company-reported Scope 1</c:v>
          </c:tx>
          <c:spPr>
            <a:ln w="19050">
              <a:solidFill>
                <a:srgbClr val="7F7F7F"/>
              </a:solidFill>
              <a:prstDash val="dash"/>
            </a:ln>
          </c:spPr>
          <c:marker>
            <c:symbol val="none"/>
          </c:marker>
          <c:cat>
            <c:strRef>
              <c:f>'Executive Summary'!$A$29:$A$31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strCache>
            </c:strRef>
          </c:cat>
          <c:val>
            <c:numRef>
              <c:f>'Executive Summary'!$C$29:$C$31</c:f>
              <c:numCache>
                <c:formatCode>#,##0</c:formatCode>
                <c:ptCount val="3"/>
                <c:pt idx="0">
                  <c:v>14662.9</c:v>
                </c:pt>
                <c:pt idx="1">
                  <c:v>10960.41</c:v>
                </c:pt>
                <c:pt idx="2">
                  <c:v>7869.19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E1-4A07-ABA9-C3383F3E4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t"/>
      <c:overlay val="0"/>
      <c:txPr>
        <a:bodyPr anchorCtr="1"/>
        <a:lstStyle/>
        <a:p>
          <a:pPr>
            <a:defRPr sz="675"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ID" sz="900">
                <a:latin typeface="Arial"/>
                <a:ea typeface="Arial"/>
                <a:cs typeface="Arial"/>
              </a:rPr>
              <a:t>Scope 2 dual reporting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Scope 2 LB</c:v>
          </c:tx>
          <c:spPr>
            <a:solidFill>
              <a:srgbClr val="5B9BD5"/>
            </a:solidFill>
          </c:spPr>
          <c:invertIfNegative val="1"/>
          <c:cat>
            <c:strRef>
              <c:f>'Executive Summary'!$E$29:$E$31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strCache>
            </c:strRef>
          </c:cat>
          <c:val>
            <c:numRef>
              <c:f>'Executive Summary'!$F$29:$F$31</c:f>
              <c:numCache>
                <c:formatCode>#,##0</c:formatCode>
                <c:ptCount val="3"/>
                <c:pt idx="0">
                  <c:v>108012.44</c:v>
                </c:pt>
                <c:pt idx="1">
                  <c:v>100322.70000000001</c:v>
                </c:pt>
                <c:pt idx="2">
                  <c:v>97889.797777777785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7D75-4EB4-9132-7DA6B4334E1E}"/>
            </c:ext>
          </c:extLst>
        </c:ser>
        <c:ser>
          <c:idx val="1"/>
          <c:order val="1"/>
          <c:tx>
            <c:v>Scope 2 MB</c:v>
          </c:tx>
          <c:spPr>
            <a:solidFill>
              <a:srgbClr val="70AD47"/>
            </a:solidFill>
          </c:spPr>
          <c:invertIfNegative val="1"/>
          <c:cat>
            <c:strRef>
              <c:f>'Executive Summary'!$E$29:$E$31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strCache>
            </c:strRef>
          </c:cat>
          <c:val>
            <c:numRef>
              <c:f>'Executive Summary'!$G$29:$G$31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7D75-4EB4-9132-7DA6B4334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t"/>
      <c:overlay val="0"/>
      <c:txPr>
        <a:bodyPr anchorCtr="1"/>
        <a:lstStyle/>
        <a:p>
          <a:pPr>
            <a:defRPr sz="675"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>
                <a:latin typeface="Arial"/>
                <a:ea typeface="Arial"/>
                <a:cs typeface="Arial"/>
              </a:rPr>
              <a:t>2025 inventory sensitivity to grid factor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Grid EF</c:v>
          </c:tx>
          <c:spPr>
            <a:solidFill>
              <a:srgbClr val="5B9BD5"/>
            </a:solidFill>
          </c:spPr>
          <c:invertIfNegative val="1"/>
          <c:cat>
            <c:strRef>
              <c:f>Sensitivity!$A$14:$A$16</c:f>
              <c:strCache>
                <c:ptCount val="3"/>
                <c:pt idx="0">
                  <c:v>DJK 2019 OM</c:v>
                </c:pt>
                <c:pt idx="1">
                  <c:v>DJK 2019 CM 75/25</c:v>
                </c:pt>
                <c:pt idx="2">
                  <c:v>DJK 2019 CM 50/50</c:v>
                </c:pt>
              </c:strCache>
            </c:strRef>
          </c:cat>
          <c:val>
            <c:numRef>
              <c:f>Sensitivity!$B$14:$B$16</c:f>
              <c:numCache>
                <c:formatCode>0.00</c:formatCode>
                <c:ptCount val="3"/>
                <c:pt idx="0">
                  <c:v>0.8</c:v>
                </c:pt>
                <c:pt idx="1">
                  <c:v>0.84</c:v>
                </c:pt>
                <c:pt idx="2">
                  <c:v>0.87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BE54-4357-8450-B109D9584E26}"/>
            </c:ext>
          </c:extLst>
        </c:ser>
        <c:ser>
          <c:idx val="1"/>
          <c:order val="1"/>
          <c:tx>
            <c:v>Scope 2 LB</c:v>
          </c:tx>
          <c:spPr>
            <a:solidFill>
              <a:srgbClr val="1F6B5C"/>
            </a:solidFill>
          </c:spPr>
          <c:invertIfNegative val="1"/>
          <c:cat>
            <c:strRef>
              <c:f>Sensitivity!$A$14:$A$16</c:f>
              <c:strCache>
                <c:ptCount val="3"/>
                <c:pt idx="0">
                  <c:v>DJK 2019 OM</c:v>
                </c:pt>
                <c:pt idx="1">
                  <c:v>DJK 2019 CM 75/25</c:v>
                </c:pt>
                <c:pt idx="2">
                  <c:v>DJK 2019 CM 50/50</c:v>
                </c:pt>
              </c:strCache>
            </c:strRef>
          </c:cat>
          <c:val>
            <c:numRef>
              <c:f>Sensitivity!$C$14:$C$16</c:f>
              <c:numCache>
                <c:formatCode>#,##0.00</c:formatCode>
                <c:ptCount val="3"/>
                <c:pt idx="0">
                  <c:v>97889.797777777785</c:v>
                </c:pt>
                <c:pt idx="1">
                  <c:v>102784.28766666667</c:v>
                </c:pt>
                <c:pt idx="2">
                  <c:v>106455.15508333333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BE54-4357-8450-B109D9584E26}"/>
            </c:ext>
          </c:extLst>
        </c:ser>
        <c:ser>
          <c:idx val="2"/>
          <c:order val="2"/>
          <c:tx>
            <c:v>Corporate Scope 1+2 LB</c:v>
          </c:tx>
          <c:invertIfNegative val="1"/>
          <c:cat>
            <c:strRef>
              <c:f>Sensitivity!$A$14:$A$16</c:f>
              <c:strCache>
                <c:ptCount val="3"/>
                <c:pt idx="0">
                  <c:v>DJK 2019 OM</c:v>
                </c:pt>
                <c:pt idx="1">
                  <c:v>DJK 2019 CM 75/25</c:v>
                </c:pt>
                <c:pt idx="2">
                  <c:v>DJK 2019 CM 50/50</c:v>
                </c:pt>
              </c:strCache>
            </c:strRef>
          </c:cat>
          <c:val>
            <c:numRef>
              <c:f>Sensitivity!$D$14:$D$16</c:f>
              <c:numCache>
                <c:formatCode>#,##0.00</c:formatCode>
                <c:ptCount val="3"/>
                <c:pt idx="0">
                  <c:v>105987.11009821278</c:v>
                </c:pt>
                <c:pt idx="1">
                  <c:v>110881.59998710167</c:v>
                </c:pt>
                <c:pt idx="2">
                  <c:v>114552.46740376833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54-4357-8450-B109D9584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t"/>
      <c:overlay val="0"/>
      <c:txPr>
        <a:bodyPr anchorCtr="1"/>
        <a:lstStyle/>
        <a:p>
          <a:pPr>
            <a:defRPr sz="750"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17722</xdr:colOff>
      <xdr:row>32</xdr:row>
      <xdr:rowOff>141767</xdr:rowOff>
    </xdr:from>
    <xdr:to>
      <xdr:col>3</xdr:col>
      <xdr:colOff>0</xdr:colOff>
      <xdr:row>46</xdr:row>
      <xdr:rowOff>35442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1134140</xdr:colOff>
      <xdr:row>32</xdr:row>
      <xdr:rowOff>35443</xdr:rowOff>
    </xdr:from>
    <xdr:to>
      <xdr:col>6</xdr:col>
      <xdr:colOff>2534093</xdr:colOff>
      <xdr:row>54</xdr:row>
      <xdr:rowOff>53163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16</xdr:col>
      <xdr:colOff>0</xdr:colOff>
      <xdr:row>19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Natan Portfolio">
  <a:themeElements>
    <a:clrScheme name="Natan Portfolio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Natan Portfolio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</sheetPr>
  <dimension ref="A1:P60"/>
  <sheetViews>
    <sheetView showGridLines="0" tabSelected="1" topLeftCell="A26" zoomScale="82" workbookViewId="0">
      <selection activeCell="I40" sqref="I40"/>
    </sheetView>
  </sheetViews>
  <sheetFormatPr defaultRowHeight="13.8"/>
  <cols>
    <col min="1" max="1" width="38" customWidth="1"/>
    <col min="2" max="2" width="18" customWidth="1"/>
    <col min="3" max="5" width="15" customWidth="1"/>
    <col min="6" max="6" width="22" customWidth="1"/>
    <col min="7" max="7" width="49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95" customHeight="1">
      <c r="A2" s="46" t="s">
        <v>0</v>
      </c>
      <c r="B2" s="47"/>
      <c r="C2" s="47"/>
      <c r="D2" s="47"/>
      <c r="E2" s="47"/>
      <c r="F2" s="47"/>
      <c r="G2" s="47"/>
      <c r="H2" s="1"/>
      <c r="I2" s="1"/>
      <c r="J2" s="1"/>
      <c r="K2" s="1"/>
      <c r="L2" s="1"/>
      <c r="M2" s="1"/>
      <c r="N2" s="1"/>
      <c r="O2" s="1"/>
      <c r="P2" s="1"/>
    </row>
    <row r="3" spans="1:16">
      <c r="A3" s="48" t="s">
        <v>1</v>
      </c>
      <c r="B3" s="47"/>
      <c r="C3" s="47"/>
      <c r="D3" s="47"/>
      <c r="E3" s="47"/>
      <c r="F3" s="47"/>
      <c r="G3" s="47"/>
      <c r="H3" s="1"/>
      <c r="I3" s="1"/>
      <c r="J3" s="1"/>
      <c r="K3" s="1"/>
      <c r="L3" s="1"/>
      <c r="M3" s="1"/>
      <c r="N3" s="1"/>
      <c r="O3" s="1"/>
      <c r="P3" s="1"/>
    </row>
    <row r="4" spans="1:16">
      <c r="A4" s="2"/>
      <c r="B4" s="2"/>
      <c r="C4" s="2"/>
      <c r="D4" s="2"/>
      <c r="E4" s="2"/>
      <c r="F4" s="2"/>
      <c r="G4" s="2"/>
      <c r="H4" s="1"/>
      <c r="I4" s="1"/>
      <c r="J4" s="1"/>
      <c r="K4" s="1"/>
      <c r="L4" s="1"/>
      <c r="M4" s="1"/>
      <c r="N4" s="1"/>
      <c r="O4" s="1"/>
      <c r="P4" s="1"/>
    </row>
    <row r="5" spans="1:16">
      <c r="A5" s="30" t="s">
        <v>2</v>
      </c>
      <c r="B5" s="4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9.95" customHeight="1">
      <c r="A7" s="49" t="s">
        <v>4</v>
      </c>
      <c r="B7" s="49" t="s">
        <v>4</v>
      </c>
      <c r="C7" s="49" t="s">
        <v>4</v>
      </c>
      <c r="D7" s="49" t="s">
        <v>4</v>
      </c>
      <c r="E7" s="49" t="s">
        <v>4</v>
      </c>
      <c r="F7" s="49" t="s">
        <v>4</v>
      </c>
      <c r="G7" s="49" t="s">
        <v>4</v>
      </c>
      <c r="H7" s="1"/>
      <c r="I7" s="1"/>
      <c r="J7" s="1"/>
      <c r="K7" s="1"/>
      <c r="L7" s="1"/>
      <c r="M7" s="1"/>
      <c r="N7" s="1"/>
      <c r="O7" s="1"/>
      <c r="P7" s="1"/>
    </row>
    <row r="8" spans="1:16">
      <c r="A8" s="3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5" t="s">
        <v>11</v>
      </c>
      <c r="H8" s="1"/>
      <c r="I8" s="1"/>
      <c r="J8" s="1"/>
      <c r="K8" s="1"/>
      <c r="L8" s="1"/>
      <c r="M8" s="1"/>
      <c r="N8" s="1"/>
      <c r="O8" s="1"/>
      <c r="P8" s="1"/>
    </row>
    <row r="9" spans="1:16">
      <c r="A9" s="1" t="s">
        <v>12</v>
      </c>
      <c r="B9" s="1" t="s">
        <v>13</v>
      </c>
      <c r="C9" s="25">
        <f>Inventory!D7</f>
        <v>8097.3123204349986</v>
      </c>
      <c r="D9" s="25">
        <f>Inventory!E7</f>
        <v>11418.889601299999</v>
      </c>
      <c r="E9" s="25">
        <f>Inventory!F7</f>
        <v>15330.197875785001</v>
      </c>
      <c r="F9" s="1" t="s">
        <v>14</v>
      </c>
      <c r="G9" s="1" t="s">
        <v>15</v>
      </c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16</v>
      </c>
      <c r="B10" s="1" t="s">
        <v>13</v>
      </c>
      <c r="C10" s="25">
        <f>Inventory!D8</f>
        <v>7869.19</v>
      </c>
      <c r="D10" s="25">
        <f>Inventory!E8</f>
        <v>10960.41</v>
      </c>
      <c r="E10" s="25">
        <f>Inventory!F8</f>
        <v>14662.9</v>
      </c>
      <c r="F10" s="1" t="s">
        <v>17</v>
      </c>
      <c r="G10" s="1" t="s">
        <v>18</v>
      </c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 t="s">
        <v>19</v>
      </c>
      <c r="B11" s="1" t="s">
        <v>13</v>
      </c>
      <c r="C11" s="25">
        <f>Inventory!D10</f>
        <v>97889.797777777785</v>
      </c>
      <c r="D11" s="25">
        <f>Inventory!E10</f>
        <v>100322.70000000001</v>
      </c>
      <c r="E11" s="25">
        <f>Inventory!F10</f>
        <v>108012.44</v>
      </c>
      <c r="F11" s="1" t="s">
        <v>20</v>
      </c>
      <c r="G11" s="1" t="s">
        <v>21</v>
      </c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 t="s">
        <v>22</v>
      </c>
      <c r="B12" s="1" t="s">
        <v>13</v>
      </c>
      <c r="C12" s="25">
        <f>Inventory!D11</f>
        <v>0</v>
      </c>
      <c r="D12" s="25">
        <f>Inventory!E11</f>
        <v>0</v>
      </c>
      <c r="E12" s="25">
        <f>Inventory!F11</f>
        <v>0</v>
      </c>
      <c r="F12" s="1" t="s">
        <v>23</v>
      </c>
      <c r="G12" s="1" t="s">
        <v>24</v>
      </c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30" t="s">
        <v>25</v>
      </c>
      <c r="B13" s="30" t="s">
        <v>13</v>
      </c>
      <c r="C13" s="31">
        <f>Inventory!D12</f>
        <v>105987.11009821278</v>
      </c>
      <c r="D13" s="31">
        <f>Inventory!E12</f>
        <v>111741.58960130002</v>
      </c>
      <c r="E13" s="31">
        <f>Inventory!F12</f>
        <v>123342.637875785</v>
      </c>
      <c r="F13" s="30" t="s">
        <v>14</v>
      </c>
      <c r="G13" s="30" t="s">
        <v>26</v>
      </c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30" t="s">
        <v>27</v>
      </c>
      <c r="B14" s="30" t="s">
        <v>13</v>
      </c>
      <c r="C14" s="31">
        <f>Inventory!D13</f>
        <v>8097.3123204349986</v>
      </c>
      <c r="D14" s="31">
        <f>Inventory!E13</f>
        <v>11418.889601299999</v>
      </c>
      <c r="E14" s="31">
        <f>Inventory!F13</f>
        <v>15330.197875785001</v>
      </c>
      <c r="F14" s="30" t="s">
        <v>23</v>
      </c>
      <c r="G14" s="30" t="s">
        <v>28</v>
      </c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 t="s">
        <v>29</v>
      </c>
      <c r="B15" s="1" t="s">
        <v>30</v>
      </c>
      <c r="C15" s="22">
        <f>Inventory!D15</f>
        <v>3.3179698935942521</v>
      </c>
      <c r="D15" s="22">
        <f>Inventory!E15</f>
        <v>3.6489892600710054</v>
      </c>
      <c r="E15" s="22">
        <f>Inventory!F15</f>
        <v>3.1944616015302065</v>
      </c>
      <c r="F15" s="1" t="s">
        <v>14</v>
      </c>
      <c r="G15" s="1" t="s">
        <v>31</v>
      </c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3" t="s">
        <v>32</v>
      </c>
      <c r="B16" s="13" t="s">
        <v>33</v>
      </c>
      <c r="C16" s="35">
        <f>Inventory!D14</f>
        <v>9342.3131200000007</v>
      </c>
      <c r="D16" s="35">
        <f>Inventory!E14</f>
        <v>9160.4408000000003</v>
      </c>
      <c r="E16" s="35">
        <f>Inventory!F14</f>
        <v>10135.34144</v>
      </c>
      <c r="F16" s="13" t="s">
        <v>34</v>
      </c>
      <c r="G16" s="13" t="s">
        <v>35</v>
      </c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9.95" customHeight="1">
      <c r="A19" s="49" t="s">
        <v>36</v>
      </c>
      <c r="B19" s="49" t="s">
        <v>36</v>
      </c>
      <c r="C19" s="49" t="s">
        <v>36</v>
      </c>
      <c r="D19" s="49" t="s">
        <v>36</v>
      </c>
      <c r="E19" s="49" t="s">
        <v>36</v>
      </c>
      <c r="F19" s="49" t="s">
        <v>36</v>
      </c>
      <c r="G19" s="49" t="s">
        <v>36</v>
      </c>
      <c r="H19" s="1"/>
      <c r="I19" s="1"/>
      <c r="J19" s="1"/>
      <c r="K19" s="1"/>
      <c r="L19" s="1"/>
      <c r="M19" s="1"/>
      <c r="N19" s="1"/>
      <c r="O19" s="1"/>
      <c r="P19" s="1"/>
    </row>
    <row r="20" spans="1:16" ht="40.049999999999997" customHeight="1">
      <c r="A20" s="43" t="s">
        <v>37</v>
      </c>
      <c r="B20" s="50" t="s">
        <v>38</v>
      </c>
      <c r="C20" s="50"/>
      <c r="D20" s="50"/>
      <c r="E20" s="50"/>
      <c r="F20" s="50"/>
      <c r="G20" s="50"/>
      <c r="H20" s="1"/>
      <c r="I20" s="1"/>
      <c r="J20" s="1"/>
      <c r="K20" s="1"/>
      <c r="L20" s="1"/>
      <c r="M20" s="1"/>
      <c r="N20" s="1"/>
      <c r="O20" s="1"/>
      <c r="P20" s="1"/>
    </row>
    <row r="21" spans="1:16" ht="40.049999999999997" customHeight="1">
      <c r="A21" s="43" t="s">
        <v>39</v>
      </c>
      <c r="B21" s="50" t="s">
        <v>40</v>
      </c>
      <c r="C21" s="50"/>
      <c r="D21" s="50"/>
      <c r="E21" s="50"/>
      <c r="F21" s="50"/>
      <c r="G21" s="50"/>
      <c r="H21" s="1"/>
      <c r="I21" s="1"/>
      <c r="J21" s="1"/>
      <c r="K21" s="1"/>
      <c r="L21" s="1"/>
      <c r="M21" s="1"/>
      <c r="N21" s="1"/>
      <c r="O21" s="1"/>
      <c r="P21" s="1"/>
    </row>
    <row r="22" spans="1:16" ht="40.049999999999997" customHeight="1">
      <c r="A22" s="43" t="s">
        <v>41</v>
      </c>
      <c r="B22" s="50" t="s">
        <v>42</v>
      </c>
      <c r="C22" s="50"/>
      <c r="D22" s="50"/>
      <c r="E22" s="50"/>
      <c r="F22" s="50"/>
      <c r="G22" s="50"/>
      <c r="H22" s="1"/>
      <c r="I22" s="1"/>
      <c r="J22" s="1"/>
      <c r="K22" s="1"/>
      <c r="L22" s="1"/>
      <c r="M22" s="1"/>
      <c r="N22" s="1"/>
      <c r="O22" s="1"/>
      <c r="P22" s="1"/>
    </row>
    <row r="23" spans="1:16" ht="34.049999999999997" customHeight="1">
      <c r="A23" s="43" t="s">
        <v>43</v>
      </c>
      <c r="B23" s="50" t="s">
        <v>44</v>
      </c>
      <c r="C23" s="50"/>
      <c r="D23" s="50"/>
      <c r="E23" s="50"/>
      <c r="F23" s="50"/>
      <c r="G23" s="50"/>
      <c r="H23" s="1"/>
      <c r="I23" s="1"/>
      <c r="J23" s="1"/>
      <c r="K23" s="1"/>
      <c r="L23" s="1"/>
      <c r="M23" s="1"/>
      <c r="N23" s="1"/>
      <c r="O23" s="1"/>
      <c r="P23" s="1"/>
    </row>
    <row r="24" spans="1:16" ht="34.049999999999997" customHeight="1">
      <c r="A24" s="43" t="s">
        <v>45</v>
      </c>
      <c r="B24" s="50" t="s">
        <v>46</v>
      </c>
      <c r="C24" s="50"/>
      <c r="D24" s="50"/>
      <c r="E24" s="50"/>
      <c r="F24" s="50"/>
      <c r="G24" s="50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26.4">
      <c r="A28" s="3" t="s">
        <v>47</v>
      </c>
      <c r="B28" s="4" t="s">
        <v>12</v>
      </c>
      <c r="C28" s="5" t="s">
        <v>16</v>
      </c>
      <c r="D28" s="1"/>
      <c r="E28" s="3" t="s">
        <v>47</v>
      </c>
      <c r="F28" s="4" t="s">
        <v>48</v>
      </c>
      <c r="G28" s="5" t="s">
        <v>49</v>
      </c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 t="s">
        <v>9</v>
      </c>
      <c r="B29" s="45">
        <f>Inventory!F7</f>
        <v>15330.197875785001</v>
      </c>
      <c r="C29" s="45">
        <f>Inventory!F8</f>
        <v>14662.9</v>
      </c>
      <c r="D29" s="1"/>
      <c r="E29" s="1" t="s">
        <v>9</v>
      </c>
      <c r="F29" s="45">
        <f>Inventory!F10</f>
        <v>108012.44</v>
      </c>
      <c r="G29" s="45">
        <f>Inventory!F11</f>
        <v>0</v>
      </c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 t="s">
        <v>8</v>
      </c>
      <c r="B30" s="45">
        <f>Inventory!E7</f>
        <v>11418.889601299999</v>
      </c>
      <c r="C30" s="45">
        <f>Inventory!E8</f>
        <v>10960.41</v>
      </c>
      <c r="D30" s="1"/>
      <c r="E30" s="1" t="s">
        <v>8</v>
      </c>
      <c r="F30" s="45">
        <f>Inventory!E10</f>
        <v>100322.70000000001</v>
      </c>
      <c r="G30" s="45">
        <f>Inventory!E11</f>
        <v>0</v>
      </c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 t="s">
        <v>7</v>
      </c>
      <c r="B31" s="45">
        <f>Inventory!D7</f>
        <v>8097.3123204349986</v>
      </c>
      <c r="C31" s="45">
        <f>Inventory!D8</f>
        <v>7869.19</v>
      </c>
      <c r="D31" s="1"/>
      <c r="E31" s="1" t="s">
        <v>7</v>
      </c>
      <c r="F31" s="45">
        <f>Inventory!D10</f>
        <v>97889.797777777785</v>
      </c>
      <c r="G31" s="45">
        <f>Inventory!D11</f>
        <v>0</v>
      </c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</sheetData>
  <mergeCells count="9">
    <mergeCell ref="B21:G21"/>
    <mergeCell ref="B22:G22"/>
    <mergeCell ref="B23:G23"/>
    <mergeCell ref="B24:G24"/>
    <mergeCell ref="A2:G2"/>
    <mergeCell ref="A3:G3"/>
    <mergeCell ref="A7:G7"/>
    <mergeCell ref="A19:G19"/>
    <mergeCell ref="B20:G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6B5C"/>
  </sheetPr>
  <dimension ref="A1:P60"/>
  <sheetViews>
    <sheetView showGridLines="0" workbookViewId="0">
      <pane ySplit="6" topLeftCell="A7" activePane="bottomLeft" state="frozen"/>
      <selection pane="bottomLeft"/>
    </sheetView>
  </sheetViews>
  <sheetFormatPr defaultRowHeight="13.8"/>
  <cols>
    <col min="1" max="1" width="20" customWidth="1"/>
    <col min="2" max="2" width="43" customWidth="1"/>
    <col min="3" max="3" width="20" customWidth="1"/>
    <col min="4" max="6" width="15" customWidth="1"/>
    <col min="7" max="7" width="24" customWidth="1"/>
    <col min="8" max="8" width="49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95" customHeight="1">
      <c r="A2" s="46" t="s">
        <v>50</v>
      </c>
      <c r="B2" s="47"/>
      <c r="C2" s="47"/>
      <c r="D2" s="47"/>
      <c r="E2" s="47"/>
      <c r="F2" s="47"/>
      <c r="G2" s="47"/>
      <c r="H2" s="47"/>
      <c r="I2" s="1"/>
      <c r="J2" s="1"/>
      <c r="K2" s="1"/>
      <c r="L2" s="1"/>
      <c r="M2" s="1"/>
      <c r="N2" s="1"/>
      <c r="O2" s="1"/>
      <c r="P2" s="1"/>
    </row>
    <row r="3" spans="1:16">
      <c r="A3" s="48" t="s">
        <v>51</v>
      </c>
      <c r="B3" s="47"/>
      <c r="C3" s="47"/>
      <c r="D3" s="47"/>
      <c r="E3" s="47"/>
      <c r="F3" s="47"/>
      <c r="G3" s="47"/>
      <c r="H3" s="47"/>
      <c r="I3" s="1"/>
      <c r="J3" s="1"/>
      <c r="K3" s="1"/>
      <c r="L3" s="1"/>
      <c r="M3" s="1"/>
      <c r="N3" s="1"/>
      <c r="O3" s="1"/>
      <c r="P3" s="1"/>
    </row>
    <row r="4" spans="1:16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ht="19.95" customHeight="1">
      <c r="A5" s="49" t="s">
        <v>52</v>
      </c>
      <c r="B5" s="49" t="s">
        <v>52</v>
      </c>
      <c r="C5" s="49" t="s">
        <v>52</v>
      </c>
      <c r="D5" s="49" t="s">
        <v>52</v>
      </c>
      <c r="E5" s="49" t="s">
        <v>52</v>
      </c>
      <c r="F5" s="49" t="s">
        <v>52</v>
      </c>
      <c r="G5" s="49" t="s">
        <v>52</v>
      </c>
      <c r="H5" s="49" t="s">
        <v>52</v>
      </c>
      <c r="I5" s="1"/>
      <c r="J5" s="1"/>
      <c r="K5" s="1"/>
      <c r="L5" s="1"/>
      <c r="M5" s="1"/>
      <c r="N5" s="1"/>
      <c r="O5" s="1"/>
      <c r="P5" s="1"/>
    </row>
    <row r="6" spans="1:16">
      <c r="A6" s="3" t="s">
        <v>53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54</v>
      </c>
      <c r="H6" s="5" t="s">
        <v>55</v>
      </c>
      <c r="I6" s="1"/>
      <c r="J6" s="1"/>
      <c r="K6" s="1"/>
      <c r="L6" s="1"/>
      <c r="M6" s="1"/>
      <c r="N6" s="1"/>
      <c r="O6" s="1"/>
      <c r="P6" s="1"/>
    </row>
    <row r="7" spans="1:16">
      <c r="A7" s="1" t="s">
        <v>56</v>
      </c>
      <c r="B7" s="1" t="s">
        <v>12</v>
      </c>
      <c r="C7" s="1" t="s">
        <v>13</v>
      </c>
      <c r="D7" s="25">
        <f>'Scope 1'!D22</f>
        <v>8097.3123204349986</v>
      </c>
      <c r="E7" s="25">
        <f>'Scope 1'!E22</f>
        <v>11418.889601299999</v>
      </c>
      <c r="F7" s="25">
        <f>'Scope 1'!F22</f>
        <v>15330.197875785001</v>
      </c>
      <c r="G7" s="1" t="s">
        <v>14</v>
      </c>
      <c r="H7" s="1" t="s">
        <v>57</v>
      </c>
      <c r="I7" s="1"/>
      <c r="J7" s="1"/>
      <c r="K7" s="1"/>
      <c r="L7" s="1"/>
      <c r="M7" s="1"/>
      <c r="N7" s="1"/>
      <c r="O7" s="1"/>
      <c r="P7" s="1"/>
    </row>
    <row r="8" spans="1:16">
      <c r="A8" s="1" t="s">
        <v>56</v>
      </c>
      <c r="B8" s="1" t="s">
        <v>16</v>
      </c>
      <c r="C8" s="1" t="s">
        <v>13</v>
      </c>
      <c r="D8" s="8">
        <f>'Scope 1'!D24</f>
        <v>7869.19</v>
      </c>
      <c r="E8" s="8">
        <f>'Scope 1'!E24</f>
        <v>10960.41</v>
      </c>
      <c r="F8" s="8">
        <f>'Scope 1'!F24</f>
        <v>14662.9</v>
      </c>
      <c r="G8" s="1" t="s">
        <v>17</v>
      </c>
      <c r="H8" s="1" t="s">
        <v>58</v>
      </c>
      <c r="I8" s="1"/>
      <c r="J8" s="1"/>
      <c r="K8" s="1"/>
      <c r="L8" s="1"/>
      <c r="M8" s="1"/>
      <c r="N8" s="1"/>
      <c r="O8" s="1"/>
      <c r="P8" s="1"/>
    </row>
    <row r="9" spans="1:16">
      <c r="A9" s="1" t="s">
        <v>56</v>
      </c>
      <c r="B9" s="1" t="s">
        <v>59</v>
      </c>
      <c r="C9" s="1" t="s">
        <v>60</v>
      </c>
      <c r="D9" s="26">
        <f>'Scope 1'!D25</f>
        <v>2.8989301368374507E-2</v>
      </c>
      <c r="E9" s="26">
        <f>'Scope 1'!E25</f>
        <v>4.1830515582902426E-2</v>
      </c>
      <c r="F9" s="26">
        <f>'Scope 1'!F25</f>
        <v>4.5509270047876034E-2</v>
      </c>
      <c r="G9" s="1" t="s">
        <v>61</v>
      </c>
      <c r="H9" s="1" t="s">
        <v>62</v>
      </c>
      <c r="I9" s="1"/>
      <c r="J9" s="1"/>
      <c r="K9" s="1"/>
      <c r="L9" s="1"/>
      <c r="M9" s="1"/>
      <c r="N9" s="1"/>
      <c r="O9" s="1"/>
      <c r="P9" s="1"/>
    </row>
    <row r="10" spans="1:16">
      <c r="A10" s="1" t="s">
        <v>63</v>
      </c>
      <c r="B10" s="1" t="s">
        <v>64</v>
      </c>
      <c r="C10" s="1" t="s">
        <v>13</v>
      </c>
      <c r="D10" s="25">
        <f>'Scope 2'!D10</f>
        <v>97889.797777777785</v>
      </c>
      <c r="E10" s="25">
        <f>'Scope 2'!E10</f>
        <v>100322.70000000001</v>
      </c>
      <c r="F10" s="25">
        <f>'Scope 2'!F10</f>
        <v>108012.44</v>
      </c>
      <c r="G10" s="1" t="s">
        <v>20</v>
      </c>
      <c r="H10" s="1" t="s">
        <v>65</v>
      </c>
      <c r="I10" s="1"/>
      <c r="J10" s="1"/>
      <c r="K10" s="1"/>
      <c r="L10" s="1"/>
      <c r="M10" s="1"/>
      <c r="N10" s="1"/>
      <c r="O10" s="1"/>
      <c r="P10" s="1"/>
    </row>
    <row r="11" spans="1:16">
      <c r="A11" s="1" t="s">
        <v>63</v>
      </c>
      <c r="B11" s="1" t="s">
        <v>66</v>
      </c>
      <c r="C11" s="1" t="s">
        <v>13</v>
      </c>
      <c r="D11" s="25">
        <f>'Scope 2'!D19</f>
        <v>0</v>
      </c>
      <c r="E11" s="25">
        <f>'Scope 2'!E19</f>
        <v>0</v>
      </c>
      <c r="F11" s="25">
        <f>'Scope 2'!F19</f>
        <v>0</v>
      </c>
      <c r="G11" s="1" t="s">
        <v>67</v>
      </c>
      <c r="H11" s="1" t="s">
        <v>68</v>
      </c>
      <c r="I11" s="1"/>
      <c r="J11" s="1"/>
      <c r="K11" s="1"/>
      <c r="L11" s="1"/>
      <c r="M11" s="1"/>
      <c r="N11" s="1"/>
      <c r="O11" s="1"/>
      <c r="P11" s="1"/>
    </row>
    <row r="12" spans="1:16">
      <c r="A12" s="30" t="s">
        <v>69</v>
      </c>
      <c r="B12" s="30" t="s">
        <v>70</v>
      </c>
      <c r="C12" s="30" t="s">
        <v>13</v>
      </c>
      <c r="D12" s="31">
        <f>'Scope 2'!D24</f>
        <v>105987.11009821278</v>
      </c>
      <c r="E12" s="31">
        <f>'Scope 2'!E24</f>
        <v>111741.58960130002</v>
      </c>
      <c r="F12" s="31">
        <f>'Scope 2'!F24</f>
        <v>123342.637875785</v>
      </c>
      <c r="G12" s="30" t="s">
        <v>14</v>
      </c>
      <c r="H12" s="30" t="s">
        <v>71</v>
      </c>
      <c r="I12" s="1"/>
      <c r="J12" s="1"/>
      <c r="K12" s="1"/>
      <c r="L12" s="1"/>
      <c r="M12" s="1"/>
      <c r="N12" s="1"/>
      <c r="O12" s="1"/>
      <c r="P12" s="1"/>
    </row>
    <row r="13" spans="1:16">
      <c r="A13" s="30" t="s">
        <v>69</v>
      </c>
      <c r="B13" s="30" t="s">
        <v>72</v>
      </c>
      <c r="C13" s="30" t="s">
        <v>13</v>
      </c>
      <c r="D13" s="31">
        <f>'Scope 2'!D25</f>
        <v>8097.3123204349986</v>
      </c>
      <c r="E13" s="31">
        <f>'Scope 2'!E25</f>
        <v>11418.889601299999</v>
      </c>
      <c r="F13" s="31">
        <f>'Scope 2'!F25</f>
        <v>15330.197875785001</v>
      </c>
      <c r="G13" s="30" t="s">
        <v>67</v>
      </c>
      <c r="H13" s="30" t="s">
        <v>73</v>
      </c>
      <c r="I13" s="1"/>
      <c r="J13" s="1"/>
      <c r="K13" s="1"/>
      <c r="L13" s="1"/>
      <c r="M13" s="1"/>
      <c r="N13" s="1"/>
      <c r="O13" s="1"/>
      <c r="P13" s="1"/>
    </row>
    <row r="14" spans="1:16">
      <c r="A14" s="1" t="s">
        <v>74</v>
      </c>
      <c r="B14" s="1" t="s">
        <v>75</v>
      </c>
      <c r="C14" s="1" t="s">
        <v>33</v>
      </c>
      <c r="D14" s="25">
        <f>'Scope 1'!D16</f>
        <v>9342.3131200000007</v>
      </c>
      <c r="E14" s="25">
        <f>'Scope 1'!E16</f>
        <v>9160.4408000000003</v>
      </c>
      <c r="F14" s="25">
        <f>'Scope 1'!F16</f>
        <v>10135.34144</v>
      </c>
      <c r="G14" s="1" t="s">
        <v>34</v>
      </c>
      <c r="H14" s="1" t="s">
        <v>35</v>
      </c>
      <c r="I14" s="1"/>
      <c r="J14" s="1"/>
      <c r="K14" s="1"/>
      <c r="L14" s="1"/>
      <c r="M14" s="1"/>
      <c r="N14" s="1"/>
      <c r="O14" s="1"/>
      <c r="P14" s="1"/>
    </row>
    <row r="15" spans="1:16">
      <c r="A15" s="1" t="s">
        <v>76</v>
      </c>
      <c r="B15" s="1" t="s">
        <v>29</v>
      </c>
      <c r="C15" s="1" t="s">
        <v>77</v>
      </c>
      <c r="D15" s="22">
        <f>D12/('Source Data'!D26/1000)</f>
        <v>3.3179698935942521</v>
      </c>
      <c r="E15" s="22">
        <f>E12/('Source Data'!E26/1000)</f>
        <v>3.6489892600710054</v>
      </c>
      <c r="F15" s="22">
        <f>F12/('Source Data'!F26/1000)</f>
        <v>3.1944616015302065</v>
      </c>
      <c r="G15" s="1" t="s">
        <v>14</v>
      </c>
      <c r="H15" s="1" t="s">
        <v>78</v>
      </c>
      <c r="I15" s="1"/>
      <c r="J15" s="1"/>
      <c r="K15" s="1"/>
      <c r="L15" s="1"/>
      <c r="M15" s="1"/>
      <c r="N15" s="1"/>
      <c r="O15" s="1"/>
      <c r="P15" s="1"/>
    </row>
    <row r="16" spans="1:16">
      <c r="A16" s="1" t="s">
        <v>76</v>
      </c>
      <c r="B16" s="1" t="s">
        <v>79</v>
      </c>
      <c r="C16" s="1" t="s">
        <v>77</v>
      </c>
      <c r="D16" s="22">
        <f>D13/('Source Data'!D26/1000)</f>
        <v>0.25348967882355894</v>
      </c>
      <c r="E16" s="22">
        <f>E13/('Source Data'!E26/1000)</f>
        <v>0.37289075326162552</v>
      </c>
      <c r="F16" s="22">
        <f>F13/('Source Data'!F26/1000)</f>
        <v>0.39703811513560466</v>
      </c>
      <c r="G16" s="1" t="s">
        <v>67</v>
      </c>
      <c r="H16" s="1" t="s">
        <v>73</v>
      </c>
      <c r="I16" s="1"/>
      <c r="J16" s="1"/>
      <c r="K16" s="1"/>
      <c r="L16" s="1"/>
      <c r="M16" s="1"/>
      <c r="N16" s="1"/>
      <c r="O16" s="1"/>
      <c r="P16" s="1"/>
    </row>
    <row r="17" spans="1:16">
      <c r="A17" s="13" t="s">
        <v>80</v>
      </c>
      <c r="B17" s="13" t="s">
        <v>81</v>
      </c>
      <c r="C17" s="13" t="s">
        <v>82</v>
      </c>
      <c r="D17" s="13" t="s">
        <v>82</v>
      </c>
      <c r="E17" s="13" t="s">
        <v>82</v>
      </c>
      <c r="F17" s="13" t="s">
        <v>82</v>
      </c>
      <c r="G17" s="13" t="s">
        <v>83</v>
      </c>
      <c r="H17" s="13" t="s">
        <v>84</v>
      </c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9.95" customHeight="1">
      <c r="A20" s="49" t="s">
        <v>85</v>
      </c>
      <c r="B20" s="49" t="s">
        <v>85</v>
      </c>
      <c r="C20" s="49" t="s">
        <v>85</v>
      </c>
      <c r="D20" s="49" t="s">
        <v>85</v>
      </c>
      <c r="E20" s="49" t="s">
        <v>85</v>
      </c>
      <c r="F20" s="49" t="s">
        <v>85</v>
      </c>
      <c r="G20" s="49" t="s">
        <v>85</v>
      </c>
      <c r="H20" s="49" t="s">
        <v>85</v>
      </c>
      <c r="I20" s="1"/>
      <c r="J20" s="1"/>
      <c r="K20" s="1"/>
      <c r="L20" s="1"/>
      <c r="M20" s="1"/>
      <c r="N20" s="1"/>
      <c r="O20" s="1"/>
      <c r="P20" s="1"/>
    </row>
    <row r="21" spans="1:16">
      <c r="A21" s="1" t="s">
        <v>86</v>
      </c>
      <c r="B21" s="1" t="s">
        <v>87</v>
      </c>
      <c r="C21" s="1"/>
      <c r="D21" s="1"/>
      <c r="E21" s="1"/>
      <c r="F21" s="1"/>
      <c r="G21" s="1" t="s">
        <v>88</v>
      </c>
      <c r="H21" s="1" t="s">
        <v>89</v>
      </c>
      <c r="I21" s="1"/>
      <c r="J21" s="1"/>
      <c r="K21" s="1"/>
      <c r="L21" s="1"/>
      <c r="M21" s="1"/>
      <c r="N21" s="1"/>
      <c r="O21" s="1"/>
      <c r="P21" s="1"/>
    </row>
    <row r="22" spans="1:16">
      <c r="A22" s="1" t="s">
        <v>90</v>
      </c>
      <c r="B22" s="1" t="s">
        <v>91</v>
      </c>
      <c r="C22" s="1"/>
      <c r="D22" s="1"/>
      <c r="E22" s="1"/>
      <c r="F22" s="1"/>
      <c r="G22" s="1" t="s">
        <v>88</v>
      </c>
      <c r="H22" s="1" t="s">
        <v>92</v>
      </c>
      <c r="I22" s="1"/>
      <c r="J22" s="1"/>
      <c r="K22" s="1"/>
      <c r="L22" s="1"/>
      <c r="M22" s="1"/>
      <c r="N22" s="1"/>
      <c r="O22" s="1"/>
      <c r="P22" s="1"/>
    </row>
    <row r="23" spans="1:16">
      <c r="A23" s="1" t="s">
        <v>93</v>
      </c>
      <c r="B23" s="1" t="s">
        <v>94</v>
      </c>
      <c r="C23" s="1"/>
      <c r="D23" s="1"/>
      <c r="E23" s="1"/>
      <c r="F23" s="1"/>
      <c r="G23" s="1" t="s">
        <v>88</v>
      </c>
      <c r="H23" s="1" t="s">
        <v>95</v>
      </c>
      <c r="I23" s="1"/>
      <c r="J23" s="1"/>
      <c r="K23" s="1"/>
      <c r="L23" s="1"/>
      <c r="M23" s="1"/>
      <c r="N23" s="1"/>
      <c r="O23" s="1"/>
      <c r="P23" s="1"/>
    </row>
    <row r="24" spans="1:16">
      <c r="A24" s="1" t="s">
        <v>96</v>
      </c>
      <c r="B24" s="1" t="s">
        <v>97</v>
      </c>
      <c r="C24" s="1"/>
      <c r="D24" s="1"/>
      <c r="E24" s="1"/>
      <c r="F24" s="1"/>
      <c r="G24" s="1" t="s">
        <v>98</v>
      </c>
      <c r="H24" s="1" t="s">
        <v>99</v>
      </c>
      <c r="I24" s="1"/>
      <c r="J24" s="1"/>
      <c r="K24" s="1"/>
      <c r="L24" s="1"/>
      <c r="M24" s="1"/>
      <c r="N24" s="1"/>
      <c r="O24" s="1"/>
      <c r="P24" s="1"/>
    </row>
    <row r="25" spans="1:16">
      <c r="A25" s="13" t="s">
        <v>100</v>
      </c>
      <c r="B25" s="13" t="s">
        <v>101</v>
      </c>
      <c r="C25" s="13"/>
      <c r="D25" s="13"/>
      <c r="E25" s="13"/>
      <c r="F25" s="13"/>
      <c r="G25" s="13" t="s">
        <v>102</v>
      </c>
      <c r="H25" s="13" t="s">
        <v>103</v>
      </c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</sheetData>
  <mergeCells count="4">
    <mergeCell ref="A2:H2"/>
    <mergeCell ref="A3:H3"/>
    <mergeCell ref="A5:H5"/>
    <mergeCell ref="A20:H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0"/>
  <sheetViews>
    <sheetView showGridLines="0" workbookViewId="0">
      <pane ySplit="6" topLeftCell="A7" activePane="bottomLeft" state="frozen"/>
      <selection pane="bottomLeft"/>
    </sheetView>
  </sheetViews>
  <sheetFormatPr defaultRowHeight="13.8"/>
  <cols>
    <col min="1" max="1" width="39" customWidth="1"/>
    <col min="2" max="2" width="14" customWidth="1"/>
    <col min="3" max="3" width="34" customWidth="1"/>
    <col min="4" max="6" width="15" customWidth="1"/>
    <col min="7" max="7" width="22" customWidth="1"/>
    <col min="8" max="8" width="39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95" customHeight="1">
      <c r="A2" s="46" t="s">
        <v>104</v>
      </c>
      <c r="B2" s="47"/>
      <c r="C2" s="47"/>
      <c r="D2" s="47"/>
      <c r="E2" s="47"/>
      <c r="F2" s="47"/>
      <c r="G2" s="47"/>
      <c r="H2" s="47"/>
      <c r="I2" s="1"/>
      <c r="J2" s="1"/>
      <c r="K2" s="1"/>
      <c r="L2" s="1"/>
      <c r="M2" s="1"/>
      <c r="N2" s="1"/>
      <c r="O2" s="1"/>
      <c r="P2" s="1"/>
    </row>
    <row r="3" spans="1:16">
      <c r="A3" s="48" t="s">
        <v>105</v>
      </c>
      <c r="B3" s="47"/>
      <c r="C3" s="47"/>
      <c r="D3" s="47"/>
      <c r="E3" s="47"/>
      <c r="F3" s="47"/>
      <c r="G3" s="47"/>
      <c r="H3" s="47"/>
      <c r="I3" s="1"/>
      <c r="J3" s="1"/>
      <c r="K3" s="1"/>
      <c r="L3" s="1"/>
      <c r="M3" s="1"/>
      <c r="N3" s="1"/>
      <c r="O3" s="1"/>
      <c r="P3" s="1"/>
    </row>
    <row r="4" spans="1:16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ht="19.95" customHeight="1">
      <c r="A5" s="49" t="s">
        <v>106</v>
      </c>
      <c r="B5" s="49" t="s">
        <v>106</v>
      </c>
      <c r="C5" s="49" t="s">
        <v>106</v>
      </c>
      <c r="D5" s="49" t="s">
        <v>106</v>
      </c>
      <c r="E5" s="49" t="s">
        <v>106</v>
      </c>
      <c r="F5" s="49" t="s">
        <v>106</v>
      </c>
      <c r="G5" s="49" t="s">
        <v>106</v>
      </c>
      <c r="H5" s="49" t="s">
        <v>106</v>
      </c>
      <c r="I5" s="1"/>
      <c r="J5" s="1"/>
      <c r="K5" s="1"/>
      <c r="L5" s="1"/>
      <c r="M5" s="1"/>
      <c r="N5" s="1"/>
      <c r="O5" s="1"/>
      <c r="P5" s="1"/>
    </row>
    <row r="6" spans="1:16">
      <c r="A6" s="3" t="s">
        <v>107</v>
      </c>
      <c r="B6" s="4" t="s">
        <v>6</v>
      </c>
      <c r="C6" s="4" t="s">
        <v>98</v>
      </c>
      <c r="D6" s="4" t="s">
        <v>7</v>
      </c>
      <c r="E6" s="4" t="s">
        <v>8</v>
      </c>
      <c r="F6" s="4" t="s">
        <v>9</v>
      </c>
      <c r="G6" s="4" t="s">
        <v>108</v>
      </c>
      <c r="H6" s="5" t="s">
        <v>109</v>
      </c>
      <c r="I6" s="1"/>
      <c r="J6" s="1"/>
      <c r="K6" s="1"/>
      <c r="L6" s="1"/>
      <c r="M6" s="1"/>
      <c r="N6" s="1"/>
      <c r="O6" s="1"/>
      <c r="P6" s="1"/>
    </row>
    <row r="7" spans="1:16">
      <c r="A7" s="1" t="s">
        <v>110</v>
      </c>
      <c r="B7" s="1" t="s">
        <v>111</v>
      </c>
      <c r="C7" s="1" t="s">
        <v>88</v>
      </c>
      <c r="D7" s="8">
        <f>'Source Data'!D7</f>
        <v>132770.82999999999</v>
      </c>
      <c r="E7" s="8">
        <f>'Source Data'!E7</f>
        <v>190893.4</v>
      </c>
      <c r="F7" s="8">
        <f>'Source Data'!F7</f>
        <v>260355.13</v>
      </c>
      <c r="G7" s="1" t="s">
        <v>17</v>
      </c>
      <c r="H7" s="1" t="s">
        <v>112</v>
      </c>
      <c r="I7" s="1"/>
      <c r="J7" s="1"/>
      <c r="K7" s="1"/>
      <c r="L7" s="1"/>
      <c r="M7" s="1"/>
      <c r="N7" s="1"/>
      <c r="O7" s="1"/>
      <c r="P7" s="1"/>
    </row>
    <row r="8" spans="1:16">
      <c r="A8" s="1" t="s">
        <v>113</v>
      </c>
      <c r="B8" s="1" t="s">
        <v>60</v>
      </c>
      <c r="C8" s="1" t="s">
        <v>114</v>
      </c>
      <c r="D8" s="18">
        <f>Assumptions!D7</f>
        <v>1</v>
      </c>
      <c r="E8" s="18">
        <f>Assumptions!E7</f>
        <v>1</v>
      </c>
      <c r="F8" s="18">
        <f>Assumptions!F7</f>
        <v>1</v>
      </c>
      <c r="G8" s="1" t="s">
        <v>114</v>
      </c>
      <c r="H8" s="1" t="s">
        <v>115</v>
      </c>
      <c r="I8" s="1"/>
      <c r="J8" s="1"/>
      <c r="K8" s="1"/>
      <c r="L8" s="1"/>
      <c r="M8" s="1"/>
      <c r="N8" s="1"/>
      <c r="O8" s="1"/>
      <c r="P8" s="1"/>
    </row>
    <row r="9" spans="1:16">
      <c r="A9" s="1" t="s">
        <v>116</v>
      </c>
      <c r="B9" s="1" t="s">
        <v>60</v>
      </c>
      <c r="C9" s="1" t="s">
        <v>117</v>
      </c>
      <c r="D9" s="19">
        <f>Assumptions!D8</f>
        <v>0</v>
      </c>
      <c r="E9" s="19">
        <f>Assumptions!E8</f>
        <v>0</v>
      </c>
      <c r="F9" s="19">
        <f>Assumptions!F8</f>
        <v>0</v>
      </c>
      <c r="G9" s="1" t="s">
        <v>117</v>
      </c>
      <c r="H9" s="1" t="s">
        <v>118</v>
      </c>
      <c r="I9" s="1"/>
      <c r="J9" s="1"/>
      <c r="K9" s="1"/>
      <c r="L9" s="1"/>
      <c r="M9" s="1"/>
      <c r="N9" s="1"/>
      <c r="O9" s="1"/>
      <c r="P9" s="1"/>
    </row>
    <row r="10" spans="1:16">
      <c r="A10" s="1" t="s">
        <v>119</v>
      </c>
      <c r="B10" s="1" t="s">
        <v>33</v>
      </c>
      <c r="C10" s="1" t="s">
        <v>120</v>
      </c>
      <c r="D10" s="25">
        <f>D7*(D8*'EF Library'!$E$7+D9*'EF Library'!$E$10)/1000000</f>
        <v>7652.9106411999992</v>
      </c>
      <c r="E10" s="25">
        <f>E7*(E8*'EF Library'!$E$7+E9*'EF Library'!$E$10)/1000000</f>
        <v>11003.095576</v>
      </c>
      <c r="F10" s="25">
        <f>F7*(F8*'EF Library'!$E$7+F9*'EF Library'!$E$10)/1000000</f>
        <v>15006.8696932</v>
      </c>
      <c r="G10" s="1" t="s">
        <v>117</v>
      </c>
      <c r="H10" s="1" t="s">
        <v>121</v>
      </c>
      <c r="I10" s="1"/>
      <c r="J10" s="1"/>
      <c r="K10" s="1"/>
      <c r="L10" s="1"/>
      <c r="M10" s="1"/>
      <c r="N10" s="1"/>
      <c r="O10" s="1"/>
      <c r="P10" s="1"/>
    </row>
    <row r="11" spans="1:16">
      <c r="A11" s="1" t="s">
        <v>122</v>
      </c>
      <c r="B11" s="1" t="s">
        <v>13</v>
      </c>
      <c r="C11" s="1" t="s">
        <v>123</v>
      </c>
      <c r="D11" s="25">
        <f>D7*(D8*'EF Library'!$E$8+D9*'EF Library'!$E$11)*Assumptions!D10/1000000</f>
        <v>3.7175832399999997</v>
      </c>
      <c r="E11" s="25">
        <f>E7*(E8*'EF Library'!$E$8+E9*'EF Library'!$E$11)*Assumptions!E10/1000000</f>
        <v>5.3450151999999997</v>
      </c>
      <c r="F11" s="25">
        <f>F7*(F8*'EF Library'!$E$8+F9*'EF Library'!$E$11)*Assumptions!F10/1000000</f>
        <v>7.2899436400000006</v>
      </c>
      <c r="G11" s="1" t="s">
        <v>117</v>
      </c>
      <c r="H11" s="1" t="s">
        <v>124</v>
      </c>
      <c r="I11" s="1"/>
      <c r="J11" s="1"/>
      <c r="K11" s="1"/>
      <c r="L11" s="1"/>
      <c r="M11" s="1"/>
      <c r="N11" s="1"/>
      <c r="O11" s="1"/>
      <c r="P11" s="1"/>
    </row>
    <row r="12" spans="1:16">
      <c r="A12" s="1" t="s">
        <v>125</v>
      </c>
      <c r="B12" s="1" t="s">
        <v>13</v>
      </c>
      <c r="C12" s="1" t="s">
        <v>126</v>
      </c>
      <c r="D12" s="25">
        <f>D7*(D8*'EF Library'!$E$9+D9*'EF Library'!$E$12)*Assumptions!D11/1000000</f>
        <v>3.5184269949999996</v>
      </c>
      <c r="E12" s="25">
        <f>E7*(E8*'EF Library'!$E$9+E9*'EF Library'!$E$12)*Assumptions!E11/1000000</f>
        <v>5.0586750999999994</v>
      </c>
      <c r="F12" s="25">
        <f>F7*(F8*'EF Library'!$E$9+F9*'EF Library'!$E$12)*Assumptions!F11/1000000</f>
        <v>6.8994109450000005</v>
      </c>
      <c r="G12" s="1" t="s">
        <v>117</v>
      </c>
      <c r="H12" s="1" t="s">
        <v>124</v>
      </c>
      <c r="I12" s="1"/>
      <c r="J12" s="1"/>
      <c r="K12" s="1"/>
      <c r="L12" s="1"/>
      <c r="M12" s="1"/>
      <c r="N12" s="1"/>
      <c r="O12" s="1"/>
      <c r="P12" s="1"/>
    </row>
    <row r="13" spans="1:16">
      <c r="A13" s="28" t="s">
        <v>127</v>
      </c>
      <c r="B13" s="28" t="s">
        <v>13</v>
      </c>
      <c r="C13" s="28" t="s">
        <v>128</v>
      </c>
      <c r="D13" s="29">
        <f>SUM(D10:D12)</f>
        <v>7660.1466514349986</v>
      </c>
      <c r="E13" s="29">
        <f>SUM(E10:E12)</f>
        <v>11013.499266299999</v>
      </c>
      <c r="F13" s="29">
        <f>SUM(F10:F12)</f>
        <v>15021.059047785</v>
      </c>
      <c r="G13" s="28" t="s">
        <v>117</v>
      </c>
      <c r="H13" s="28" t="s">
        <v>3</v>
      </c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0"/>
      <c r="E14" s="10"/>
      <c r="F14" s="10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 t="s">
        <v>129</v>
      </c>
      <c r="B15" s="1" t="s">
        <v>111</v>
      </c>
      <c r="C15" s="1" t="s">
        <v>88</v>
      </c>
      <c r="D15" s="8">
        <f>'Source Data'!D8</f>
        <v>83413.509999999995</v>
      </c>
      <c r="E15" s="8">
        <f>'Source Data'!E8</f>
        <v>81789.649999999994</v>
      </c>
      <c r="F15" s="8">
        <f>'Source Data'!F8</f>
        <v>90494.12</v>
      </c>
      <c r="G15" s="1" t="s">
        <v>17</v>
      </c>
      <c r="H15" s="1" t="s">
        <v>130</v>
      </c>
      <c r="I15" s="1"/>
      <c r="J15" s="1"/>
      <c r="K15" s="1"/>
      <c r="L15" s="1"/>
      <c r="M15" s="1"/>
      <c r="N15" s="1"/>
      <c r="O15" s="1"/>
      <c r="P15" s="1"/>
    </row>
    <row r="16" spans="1:16">
      <c r="A16" s="1" t="s">
        <v>32</v>
      </c>
      <c r="B16" s="1" t="s">
        <v>33</v>
      </c>
      <c r="C16" s="1" t="s">
        <v>131</v>
      </c>
      <c r="D16" s="25">
        <f>D15*'EF Library'!$E$13/1000000</f>
        <v>9342.3131200000007</v>
      </c>
      <c r="E16" s="25">
        <f>E15*'EF Library'!$E$13/1000000</f>
        <v>9160.4408000000003</v>
      </c>
      <c r="F16" s="25">
        <f>F15*'EF Library'!$E$13/1000000</f>
        <v>10135.34144</v>
      </c>
      <c r="G16" s="1" t="s">
        <v>132</v>
      </c>
      <c r="H16" s="1" t="s">
        <v>133</v>
      </c>
      <c r="I16" s="1"/>
      <c r="J16" s="1"/>
      <c r="K16" s="1"/>
      <c r="L16" s="1"/>
      <c r="M16" s="1"/>
      <c r="N16" s="1"/>
      <c r="O16" s="1"/>
      <c r="P16" s="1"/>
    </row>
    <row r="17" spans="1:16">
      <c r="A17" s="1" t="s">
        <v>134</v>
      </c>
      <c r="B17" s="1" t="s">
        <v>13</v>
      </c>
      <c r="C17" s="1" t="s">
        <v>123</v>
      </c>
      <c r="D17" s="25">
        <f>D15*'EF Library'!$E$14*Assumptions!D10/1000000</f>
        <v>70.067348399999986</v>
      </c>
      <c r="E17" s="25">
        <f>E15*'EF Library'!$E$14*Assumptions!E10/1000000</f>
        <v>68.703305999999998</v>
      </c>
      <c r="F17" s="25">
        <f>F15*'EF Library'!$E$14*Assumptions!F10/1000000</f>
        <v>76.015060799999986</v>
      </c>
      <c r="G17" s="1" t="s">
        <v>117</v>
      </c>
      <c r="H17" s="1" t="s">
        <v>135</v>
      </c>
      <c r="I17" s="1"/>
      <c r="J17" s="1"/>
      <c r="K17" s="1"/>
      <c r="L17" s="1"/>
      <c r="M17" s="1"/>
      <c r="N17" s="1"/>
      <c r="O17" s="1"/>
      <c r="P17" s="1"/>
    </row>
    <row r="18" spans="1:16">
      <c r="A18" s="1" t="s">
        <v>136</v>
      </c>
      <c r="B18" s="1" t="s">
        <v>13</v>
      </c>
      <c r="C18" s="1" t="s">
        <v>126</v>
      </c>
      <c r="D18" s="25">
        <f>D15*'EF Library'!$E$15*Assumptions!D11/1000000</f>
        <v>88.418320599999987</v>
      </c>
      <c r="E18" s="25">
        <f>E15*'EF Library'!$E$15*Assumptions!E11/1000000</f>
        <v>86.697029000000001</v>
      </c>
      <c r="F18" s="25">
        <f>F15*'EF Library'!$E$15*Assumptions!F11/1000000</f>
        <v>95.923767199999986</v>
      </c>
      <c r="G18" s="1" t="s">
        <v>117</v>
      </c>
      <c r="H18" s="1" t="s">
        <v>135</v>
      </c>
      <c r="I18" s="1"/>
      <c r="J18" s="1"/>
      <c r="K18" s="1"/>
      <c r="L18" s="1"/>
      <c r="M18" s="1"/>
      <c r="N18" s="1"/>
      <c r="O18" s="1"/>
      <c r="P18" s="1"/>
    </row>
    <row r="19" spans="1:16">
      <c r="A19" s="1" t="s">
        <v>137</v>
      </c>
      <c r="B19" s="1" t="s">
        <v>13</v>
      </c>
      <c r="C19" s="1" t="s">
        <v>138</v>
      </c>
      <c r="D19" s="25">
        <f>SUM(D17:D18)</f>
        <v>158.48566899999997</v>
      </c>
      <c r="E19" s="25">
        <f>SUM(E17:E18)</f>
        <v>155.40033499999998</v>
      </c>
      <c r="F19" s="25">
        <f>SUM(F17:F18)</f>
        <v>171.93882799999997</v>
      </c>
      <c r="G19" s="1" t="s">
        <v>117</v>
      </c>
      <c r="H19" s="1" t="s">
        <v>135</v>
      </c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0"/>
      <c r="E20" s="10"/>
      <c r="F20" s="10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 t="s">
        <v>139</v>
      </c>
      <c r="B21" s="1" t="s">
        <v>13</v>
      </c>
      <c r="C21" s="1" t="s">
        <v>140</v>
      </c>
      <c r="D21" s="8">
        <f>'Source Data'!D20</f>
        <v>278.68</v>
      </c>
      <c r="E21" s="8">
        <f>'Source Data'!E20</f>
        <v>249.99</v>
      </c>
      <c r="F21" s="8">
        <f>'Source Data'!F20</f>
        <v>137.19999999999999</v>
      </c>
      <c r="G21" s="1" t="s">
        <v>141</v>
      </c>
      <c r="H21" s="1" t="s">
        <v>142</v>
      </c>
      <c r="I21" s="1"/>
      <c r="J21" s="1"/>
      <c r="K21" s="1"/>
      <c r="L21" s="1"/>
      <c r="M21" s="1"/>
      <c r="N21" s="1"/>
      <c r="O21" s="1"/>
      <c r="P21" s="1"/>
    </row>
    <row r="22" spans="1:16">
      <c r="A22" s="30" t="s">
        <v>12</v>
      </c>
      <c r="B22" s="30" t="s">
        <v>13</v>
      </c>
      <c r="C22" s="30" t="s">
        <v>143</v>
      </c>
      <c r="D22" s="31">
        <f>D13+D19+D21</f>
        <v>8097.3123204349986</v>
      </c>
      <c r="E22" s="31">
        <f>E13+E19+E21</f>
        <v>11418.889601299999</v>
      </c>
      <c r="F22" s="31">
        <f>F13+F19+F21</f>
        <v>15330.197875785001</v>
      </c>
      <c r="G22" s="30" t="s">
        <v>14</v>
      </c>
      <c r="H22" s="30" t="s">
        <v>144</v>
      </c>
      <c r="I22" s="1"/>
      <c r="J22" s="1"/>
      <c r="K22" s="1"/>
      <c r="L22" s="1"/>
      <c r="M22" s="1"/>
      <c r="N22" s="1"/>
      <c r="O22" s="1"/>
      <c r="P22" s="1"/>
    </row>
    <row r="23" spans="1:16">
      <c r="A23" s="1" t="s">
        <v>145</v>
      </c>
      <c r="B23" s="1" t="s">
        <v>13</v>
      </c>
      <c r="C23" s="1" t="s">
        <v>88</v>
      </c>
      <c r="D23" s="8">
        <f>'Source Data'!D19</f>
        <v>7590.51</v>
      </c>
      <c r="E23" s="8">
        <f>'Source Data'!E19</f>
        <v>10710.42</v>
      </c>
      <c r="F23" s="8">
        <f>'Source Data'!F19</f>
        <v>14525.7</v>
      </c>
      <c r="G23" s="1" t="s">
        <v>17</v>
      </c>
      <c r="H23" s="1" t="s">
        <v>146</v>
      </c>
      <c r="I23" s="1"/>
      <c r="J23" s="1"/>
      <c r="K23" s="1"/>
      <c r="L23" s="1"/>
      <c r="M23" s="1"/>
      <c r="N23" s="1"/>
      <c r="O23" s="1"/>
      <c r="P23" s="1"/>
    </row>
    <row r="24" spans="1:16">
      <c r="A24" s="1" t="s">
        <v>16</v>
      </c>
      <c r="B24" s="1" t="s">
        <v>13</v>
      </c>
      <c r="C24" s="1" t="s">
        <v>88</v>
      </c>
      <c r="D24" s="8">
        <f>'Source Data'!D21</f>
        <v>7869.19</v>
      </c>
      <c r="E24" s="8">
        <f>'Source Data'!E21</f>
        <v>10960.41</v>
      </c>
      <c r="F24" s="8">
        <f>'Source Data'!F21</f>
        <v>14662.9</v>
      </c>
      <c r="G24" s="1" t="s">
        <v>17</v>
      </c>
      <c r="H24" s="1" t="s">
        <v>146</v>
      </c>
      <c r="I24" s="1"/>
      <c r="J24" s="1"/>
      <c r="K24" s="1"/>
      <c r="L24" s="1"/>
      <c r="M24" s="1"/>
      <c r="N24" s="1"/>
      <c r="O24" s="1"/>
      <c r="P24" s="1"/>
    </row>
    <row r="25" spans="1:16">
      <c r="A25" s="1" t="s">
        <v>147</v>
      </c>
      <c r="B25" s="1" t="s">
        <v>60</v>
      </c>
      <c r="C25" s="1" t="s">
        <v>148</v>
      </c>
      <c r="D25" s="26">
        <f>(D22-D24)/D24</f>
        <v>2.8989301368374507E-2</v>
      </c>
      <c r="E25" s="26">
        <f>(E22-E24)/E24</f>
        <v>4.1830515582902426E-2</v>
      </c>
      <c r="F25" s="26">
        <f>(F22-F24)/F24</f>
        <v>4.5509270047876034E-2</v>
      </c>
      <c r="G25" s="1" t="s">
        <v>61</v>
      </c>
      <c r="H25" s="1" t="s">
        <v>149</v>
      </c>
      <c r="I25" s="1"/>
      <c r="J25" s="1"/>
      <c r="K25" s="1"/>
      <c r="L25" s="1"/>
      <c r="M25" s="1"/>
      <c r="N25" s="1"/>
      <c r="O25" s="1"/>
      <c r="P25" s="1"/>
    </row>
    <row r="26" spans="1:16">
      <c r="A26" s="13" t="s">
        <v>150</v>
      </c>
      <c r="B26" s="13" t="s">
        <v>151</v>
      </c>
      <c r="C26" s="13" t="s">
        <v>152</v>
      </c>
      <c r="D26" s="27">
        <f>D23/D7</f>
        <v>5.717001241914358E-2</v>
      </c>
      <c r="E26" s="27">
        <f>E23/E7</f>
        <v>5.6106811445550242E-2</v>
      </c>
      <c r="F26" s="27">
        <f>F23/F7</f>
        <v>5.5791871663907679E-2</v>
      </c>
      <c r="G26" s="13" t="s">
        <v>153</v>
      </c>
      <c r="H26" s="13" t="s">
        <v>154</v>
      </c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</sheetData>
  <mergeCells count="3">
    <mergeCell ref="A2:H2"/>
    <mergeCell ref="A3:H3"/>
    <mergeCell ref="A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0"/>
  <sheetViews>
    <sheetView showGridLines="0" workbookViewId="0">
      <pane ySplit="6" topLeftCell="A7" activePane="bottomLeft" state="frozen"/>
      <selection pane="bottomLeft"/>
    </sheetView>
  </sheetViews>
  <sheetFormatPr defaultRowHeight="13.8"/>
  <cols>
    <col min="1" max="1" width="40" customWidth="1"/>
    <col min="2" max="2" width="15" customWidth="1"/>
    <col min="3" max="3" width="33" customWidth="1"/>
    <col min="4" max="6" width="15" customWidth="1"/>
    <col min="7" max="7" width="24" customWidth="1"/>
    <col min="8" max="8" width="46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95" customHeight="1">
      <c r="A2" s="46" t="s">
        <v>155</v>
      </c>
      <c r="B2" s="47"/>
      <c r="C2" s="47"/>
      <c r="D2" s="47"/>
      <c r="E2" s="47"/>
      <c r="F2" s="47"/>
      <c r="G2" s="47"/>
      <c r="H2" s="47"/>
      <c r="I2" s="1"/>
      <c r="J2" s="1"/>
      <c r="K2" s="1"/>
      <c r="L2" s="1"/>
      <c r="M2" s="1"/>
      <c r="N2" s="1"/>
      <c r="O2" s="1"/>
      <c r="P2" s="1"/>
    </row>
    <row r="3" spans="1:16">
      <c r="A3" s="48" t="s">
        <v>156</v>
      </c>
      <c r="B3" s="47"/>
      <c r="C3" s="47"/>
      <c r="D3" s="47"/>
      <c r="E3" s="47"/>
      <c r="F3" s="47"/>
      <c r="G3" s="47"/>
      <c r="H3" s="47"/>
      <c r="I3" s="1"/>
      <c r="J3" s="1"/>
      <c r="K3" s="1"/>
      <c r="L3" s="1"/>
      <c r="M3" s="1"/>
      <c r="N3" s="1"/>
      <c r="O3" s="1"/>
      <c r="P3" s="1"/>
    </row>
    <row r="4" spans="1:16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ht="19.95" customHeight="1">
      <c r="A5" s="49" t="s">
        <v>106</v>
      </c>
      <c r="B5" s="49" t="s">
        <v>106</v>
      </c>
      <c r="C5" s="49" t="s">
        <v>106</v>
      </c>
      <c r="D5" s="49" t="s">
        <v>106</v>
      </c>
      <c r="E5" s="49" t="s">
        <v>106</v>
      </c>
      <c r="F5" s="49" t="s">
        <v>106</v>
      </c>
      <c r="G5" s="49" t="s">
        <v>106</v>
      </c>
      <c r="H5" s="49" t="s">
        <v>106</v>
      </c>
      <c r="I5" s="1"/>
      <c r="J5" s="1"/>
      <c r="K5" s="1"/>
      <c r="L5" s="1"/>
      <c r="M5" s="1"/>
      <c r="N5" s="1"/>
      <c r="O5" s="1"/>
      <c r="P5" s="1"/>
    </row>
    <row r="6" spans="1:16">
      <c r="A6" s="3" t="s">
        <v>107</v>
      </c>
      <c r="B6" s="4" t="s">
        <v>6</v>
      </c>
      <c r="C6" s="4" t="s">
        <v>98</v>
      </c>
      <c r="D6" s="4" t="s">
        <v>7</v>
      </c>
      <c r="E6" s="4" t="s">
        <v>8</v>
      </c>
      <c r="F6" s="4" t="s">
        <v>9</v>
      </c>
      <c r="G6" s="4" t="s">
        <v>108</v>
      </c>
      <c r="H6" s="5" t="s">
        <v>109</v>
      </c>
      <c r="I6" s="1"/>
      <c r="J6" s="1"/>
      <c r="K6" s="1"/>
      <c r="L6" s="1"/>
      <c r="M6" s="1"/>
      <c r="N6" s="1"/>
      <c r="O6" s="1"/>
      <c r="P6" s="1"/>
    </row>
    <row r="7" spans="1:16">
      <c r="A7" s="1" t="s">
        <v>157</v>
      </c>
      <c r="B7" s="1" t="s">
        <v>111</v>
      </c>
      <c r="C7" s="1" t="s">
        <v>88</v>
      </c>
      <c r="D7" s="8">
        <f>'Source Data'!D10</f>
        <v>440504.09</v>
      </c>
      <c r="E7" s="8">
        <f>'Source Data'!E10</f>
        <v>451452.15</v>
      </c>
      <c r="F7" s="8">
        <f>'Source Data'!F10</f>
        <v>486055.98</v>
      </c>
      <c r="G7" s="1" t="s">
        <v>17</v>
      </c>
      <c r="H7" s="1" t="s">
        <v>158</v>
      </c>
      <c r="I7" s="1"/>
      <c r="J7" s="1"/>
      <c r="K7" s="1"/>
      <c r="L7" s="1"/>
      <c r="M7" s="1"/>
      <c r="N7" s="1"/>
      <c r="O7" s="1"/>
      <c r="P7" s="1"/>
    </row>
    <row r="8" spans="1:16">
      <c r="A8" s="1" t="s">
        <v>157</v>
      </c>
      <c r="B8" s="1" t="s">
        <v>159</v>
      </c>
      <c r="C8" s="1" t="s">
        <v>160</v>
      </c>
      <c r="D8" s="25">
        <f>D7/3.6</f>
        <v>122362.24722222223</v>
      </c>
      <c r="E8" s="25">
        <f>E7/3.6</f>
        <v>125403.375</v>
      </c>
      <c r="F8" s="25">
        <f>F7/3.6</f>
        <v>135015.54999999999</v>
      </c>
      <c r="G8" s="1" t="s">
        <v>117</v>
      </c>
      <c r="H8" s="1" t="s">
        <v>161</v>
      </c>
      <c r="I8" s="1"/>
      <c r="J8" s="1"/>
      <c r="K8" s="1"/>
      <c r="L8" s="1"/>
      <c r="M8" s="1"/>
      <c r="N8" s="1"/>
      <c r="O8" s="1"/>
      <c r="P8" s="1"/>
    </row>
    <row r="9" spans="1:16">
      <c r="A9" s="1" t="s">
        <v>162</v>
      </c>
      <c r="B9" s="1" t="s">
        <v>163</v>
      </c>
      <c r="C9" s="1" t="s">
        <v>114</v>
      </c>
      <c r="D9" s="32">
        <f>Assumptions!D13</f>
        <v>0.8</v>
      </c>
      <c r="E9" s="32">
        <f>Assumptions!E13</f>
        <v>0.8</v>
      </c>
      <c r="F9" s="32">
        <f>Assumptions!F13</f>
        <v>0.8</v>
      </c>
      <c r="G9" s="1" t="s">
        <v>164</v>
      </c>
      <c r="H9" s="1" t="s">
        <v>165</v>
      </c>
      <c r="I9" s="1"/>
      <c r="J9" s="1"/>
      <c r="K9" s="1"/>
      <c r="L9" s="1"/>
      <c r="M9" s="1"/>
      <c r="N9" s="1"/>
      <c r="O9" s="1"/>
      <c r="P9" s="1"/>
    </row>
    <row r="10" spans="1:16">
      <c r="A10" s="30" t="s">
        <v>19</v>
      </c>
      <c r="B10" s="30" t="s">
        <v>13</v>
      </c>
      <c r="C10" s="30" t="s">
        <v>166</v>
      </c>
      <c r="D10" s="36">
        <f>D8*D9</f>
        <v>97889.797777777785</v>
      </c>
      <c r="E10" s="36">
        <f>E8*E9</f>
        <v>100322.70000000001</v>
      </c>
      <c r="F10" s="36">
        <f>F8*F9</f>
        <v>108012.44</v>
      </c>
      <c r="G10" s="30" t="s">
        <v>14</v>
      </c>
      <c r="H10" s="30" t="s">
        <v>167</v>
      </c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 t="s">
        <v>168</v>
      </c>
      <c r="B12" s="1" t="s">
        <v>60</v>
      </c>
      <c r="C12" s="1" t="s">
        <v>114</v>
      </c>
      <c r="D12" s="18">
        <f>Assumptions!D15</f>
        <v>1</v>
      </c>
      <c r="E12" s="18">
        <f>Assumptions!E15</f>
        <v>1</v>
      </c>
      <c r="F12" s="18">
        <f>Assumptions!F15</f>
        <v>1</v>
      </c>
      <c r="G12" s="1" t="s">
        <v>169</v>
      </c>
      <c r="H12" s="1" t="s">
        <v>170</v>
      </c>
      <c r="I12" s="1"/>
      <c r="J12" s="1"/>
      <c r="K12" s="1"/>
      <c r="L12" s="1"/>
      <c r="M12" s="1"/>
      <c r="N12" s="1"/>
      <c r="O12" s="1"/>
      <c r="P12" s="1"/>
    </row>
    <row r="13" spans="1:16">
      <c r="A13" s="1" t="s">
        <v>171</v>
      </c>
      <c r="B13" s="1" t="s">
        <v>172</v>
      </c>
      <c r="C13" s="1" t="s">
        <v>114</v>
      </c>
      <c r="D13" s="33">
        <f>Assumptions!D16</f>
        <v>0</v>
      </c>
      <c r="E13" s="33">
        <f>Assumptions!E16</f>
        <v>0</v>
      </c>
      <c r="F13" s="33">
        <f>Assumptions!F16</f>
        <v>0</v>
      </c>
      <c r="G13" s="1" t="s">
        <v>169</v>
      </c>
      <c r="H13" s="1" t="s">
        <v>173</v>
      </c>
      <c r="I13" s="1"/>
      <c r="J13" s="1"/>
      <c r="K13" s="1"/>
      <c r="L13" s="1"/>
      <c r="M13" s="1"/>
      <c r="N13" s="1"/>
      <c r="O13" s="1"/>
      <c r="P13" s="1"/>
    </row>
    <row r="14" spans="1:16">
      <c r="A14" s="1" t="s">
        <v>174</v>
      </c>
      <c r="B14" s="1" t="s">
        <v>159</v>
      </c>
      <c r="C14" s="1" t="s">
        <v>175</v>
      </c>
      <c r="D14" s="25">
        <f>D8*D12</f>
        <v>122362.24722222223</v>
      </c>
      <c r="E14" s="25">
        <f>E8*E12</f>
        <v>125403.375</v>
      </c>
      <c r="F14" s="25">
        <f>F8*F12</f>
        <v>135015.54999999999</v>
      </c>
      <c r="G14" s="1" t="s">
        <v>117</v>
      </c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 t="s">
        <v>176</v>
      </c>
      <c r="B15" s="1" t="s">
        <v>159</v>
      </c>
      <c r="C15" s="1" t="s">
        <v>177</v>
      </c>
      <c r="D15" s="25">
        <f>D8-D14</f>
        <v>0</v>
      </c>
      <c r="E15" s="25">
        <f>E8-E14</f>
        <v>0</v>
      </c>
      <c r="F15" s="25">
        <f>F8-F14</f>
        <v>0</v>
      </c>
      <c r="G15" s="1" t="s">
        <v>117</v>
      </c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 t="s">
        <v>178</v>
      </c>
      <c r="B16" s="1" t="s">
        <v>172</v>
      </c>
      <c r="C16" s="1" t="s">
        <v>179</v>
      </c>
      <c r="D16" s="34">
        <f>Assumptions!D17</f>
        <v>0.8</v>
      </c>
      <c r="E16" s="34">
        <f>Assumptions!E17</f>
        <v>0.8</v>
      </c>
      <c r="F16" s="34">
        <f>Assumptions!F17</f>
        <v>0.8</v>
      </c>
      <c r="G16" s="1" t="s">
        <v>179</v>
      </c>
      <c r="H16" s="1" t="s">
        <v>180</v>
      </c>
      <c r="I16" s="1"/>
      <c r="J16" s="1"/>
      <c r="K16" s="1"/>
      <c r="L16" s="1"/>
      <c r="M16" s="1"/>
      <c r="N16" s="1"/>
      <c r="O16" s="1"/>
      <c r="P16" s="1"/>
    </row>
    <row r="17" spans="1:16">
      <c r="A17" s="1" t="s">
        <v>181</v>
      </c>
      <c r="B17" s="1" t="s">
        <v>13</v>
      </c>
      <c r="C17" s="1" t="s">
        <v>182</v>
      </c>
      <c r="D17" s="25">
        <f>D14*D13</f>
        <v>0</v>
      </c>
      <c r="E17" s="25">
        <f>E14*E13</f>
        <v>0</v>
      </c>
      <c r="F17" s="25">
        <f>F14*F13</f>
        <v>0</v>
      </c>
      <c r="G17" s="1" t="s">
        <v>117</v>
      </c>
      <c r="H17" s="1" t="s">
        <v>183</v>
      </c>
      <c r="I17" s="1"/>
      <c r="J17" s="1"/>
      <c r="K17" s="1"/>
      <c r="L17" s="1"/>
      <c r="M17" s="1"/>
      <c r="N17" s="1"/>
      <c r="O17" s="1"/>
      <c r="P17" s="1"/>
    </row>
    <row r="18" spans="1:16">
      <c r="A18" s="1" t="s">
        <v>184</v>
      </c>
      <c r="B18" s="1" t="s">
        <v>13</v>
      </c>
      <c r="C18" s="1" t="s">
        <v>185</v>
      </c>
      <c r="D18" s="25">
        <f>D15*D16</f>
        <v>0</v>
      </c>
      <c r="E18" s="25">
        <f>E15*E16</f>
        <v>0</v>
      </c>
      <c r="F18" s="25">
        <f>F15*F16</f>
        <v>0</v>
      </c>
      <c r="G18" s="1" t="s">
        <v>117</v>
      </c>
      <c r="H18" s="1" t="s">
        <v>183</v>
      </c>
      <c r="I18" s="1"/>
      <c r="J18" s="1"/>
      <c r="K18" s="1"/>
      <c r="L18" s="1"/>
      <c r="M18" s="1"/>
      <c r="N18" s="1"/>
      <c r="O18" s="1"/>
      <c r="P18" s="1"/>
    </row>
    <row r="19" spans="1:16">
      <c r="A19" s="30" t="s">
        <v>186</v>
      </c>
      <c r="B19" s="30" t="s">
        <v>13</v>
      </c>
      <c r="C19" s="30" t="s">
        <v>187</v>
      </c>
      <c r="D19" s="31">
        <f>D17+D18</f>
        <v>0</v>
      </c>
      <c r="E19" s="31">
        <f>E17+E18</f>
        <v>0</v>
      </c>
      <c r="F19" s="31">
        <f>F17+F18</f>
        <v>0</v>
      </c>
      <c r="G19" s="30" t="s">
        <v>14</v>
      </c>
      <c r="H19" s="30" t="s">
        <v>188</v>
      </c>
      <c r="I19" s="1"/>
      <c r="J19" s="1"/>
      <c r="K19" s="1"/>
      <c r="L19" s="1"/>
      <c r="M19" s="1"/>
      <c r="N19" s="1"/>
      <c r="O19" s="1"/>
      <c r="P19" s="1"/>
    </row>
    <row r="20" spans="1:16">
      <c r="A20" s="1" t="s">
        <v>189</v>
      </c>
      <c r="B20" s="1" t="s">
        <v>190</v>
      </c>
      <c r="C20" s="1" t="s">
        <v>88</v>
      </c>
      <c r="D20" s="6" t="str">
        <f>'Source Data'!D22</f>
        <v>-</v>
      </c>
      <c r="E20" s="6" t="str">
        <f>'Source Data'!E22</f>
        <v>-</v>
      </c>
      <c r="F20" s="6" t="str">
        <f>'Source Data'!F22</f>
        <v>-</v>
      </c>
      <c r="G20" s="1" t="s">
        <v>191</v>
      </c>
      <c r="H20" s="1" t="s">
        <v>192</v>
      </c>
      <c r="I20" s="1"/>
      <c r="J20" s="1"/>
      <c r="K20" s="1"/>
      <c r="L20" s="1"/>
      <c r="M20" s="1"/>
      <c r="N20" s="1"/>
      <c r="O20" s="1"/>
      <c r="P20" s="1"/>
    </row>
    <row r="21" spans="1:16">
      <c r="A21" s="1" t="s">
        <v>193</v>
      </c>
      <c r="B21" s="1" t="s">
        <v>13</v>
      </c>
      <c r="C21" s="1" t="s">
        <v>88</v>
      </c>
      <c r="D21" s="8">
        <f>'Source Data'!D23</f>
        <v>0</v>
      </c>
      <c r="E21" s="8" t="str">
        <f>'Source Data'!E23</f>
        <v>-</v>
      </c>
      <c r="F21" s="8">
        <f>'Source Data'!F23</f>
        <v>0</v>
      </c>
      <c r="G21" s="1" t="s">
        <v>191</v>
      </c>
      <c r="H21" s="1" t="s">
        <v>194</v>
      </c>
      <c r="I21" s="1"/>
      <c r="J21" s="1"/>
      <c r="K21" s="1"/>
      <c r="L21" s="1"/>
      <c r="M21" s="1"/>
      <c r="N21" s="1"/>
      <c r="O21" s="1"/>
      <c r="P21" s="1"/>
    </row>
    <row r="22" spans="1:16">
      <c r="A22" s="1" t="s">
        <v>195</v>
      </c>
      <c r="B22" s="1" t="s">
        <v>190</v>
      </c>
      <c r="C22" s="1" t="s">
        <v>196</v>
      </c>
      <c r="D22" s="1" t="s">
        <v>183</v>
      </c>
      <c r="E22" s="1" t="s">
        <v>183</v>
      </c>
      <c r="F22" s="1" t="s">
        <v>183</v>
      </c>
      <c r="G22" s="1" t="s">
        <v>197</v>
      </c>
      <c r="H22" s="1" t="s">
        <v>198</v>
      </c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30" t="s">
        <v>25</v>
      </c>
      <c r="B24" s="30" t="s">
        <v>13</v>
      </c>
      <c r="C24" s="30" t="s">
        <v>199</v>
      </c>
      <c r="D24" s="31">
        <f>'Scope 1'!D22+D10</f>
        <v>105987.11009821278</v>
      </c>
      <c r="E24" s="31">
        <f>'Scope 1'!E22+E10</f>
        <v>111741.58960130002</v>
      </c>
      <c r="F24" s="31">
        <f>'Scope 1'!F22+F10</f>
        <v>123342.637875785</v>
      </c>
      <c r="G24" s="30" t="s">
        <v>14</v>
      </c>
      <c r="H24" s="30" t="s">
        <v>200</v>
      </c>
      <c r="I24" s="1"/>
      <c r="J24" s="1"/>
      <c r="K24" s="1"/>
      <c r="L24" s="1"/>
      <c r="M24" s="1"/>
      <c r="N24" s="1"/>
      <c r="O24" s="1"/>
      <c r="P24" s="1"/>
    </row>
    <row r="25" spans="1:16">
      <c r="A25" s="30" t="s">
        <v>27</v>
      </c>
      <c r="B25" s="30" t="s">
        <v>13</v>
      </c>
      <c r="C25" s="30" t="s">
        <v>201</v>
      </c>
      <c r="D25" s="31">
        <f>'Scope 1'!D22+D19</f>
        <v>8097.3123204349986</v>
      </c>
      <c r="E25" s="31">
        <f>'Scope 1'!E22+E19</f>
        <v>11418.889601299999</v>
      </c>
      <c r="F25" s="31">
        <f>'Scope 1'!F22+F19</f>
        <v>15330.197875785001</v>
      </c>
      <c r="G25" s="30" t="s">
        <v>67</v>
      </c>
      <c r="H25" s="30" t="s">
        <v>202</v>
      </c>
      <c r="I25" s="1"/>
      <c r="J25" s="1"/>
      <c r="K25" s="1"/>
      <c r="L25" s="1"/>
      <c r="M25" s="1"/>
      <c r="N25" s="1"/>
      <c r="O25" s="1"/>
      <c r="P25" s="1"/>
    </row>
    <row r="26" spans="1:16">
      <c r="A26" s="13" t="s">
        <v>203</v>
      </c>
      <c r="B26" s="13" t="s">
        <v>13</v>
      </c>
      <c r="C26" s="13" t="s">
        <v>204</v>
      </c>
      <c r="D26" s="35">
        <f>D10-D19</f>
        <v>97889.797777777785</v>
      </c>
      <c r="E26" s="35">
        <f>E10-E19</f>
        <v>100322.70000000001</v>
      </c>
      <c r="F26" s="35">
        <f>F10-F19</f>
        <v>108012.44</v>
      </c>
      <c r="G26" s="13" t="s">
        <v>117</v>
      </c>
      <c r="H26" s="13" t="s">
        <v>205</v>
      </c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</sheetData>
  <mergeCells count="3">
    <mergeCell ref="A2:H2"/>
    <mergeCell ref="A3:H3"/>
    <mergeCell ref="A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B9BD5"/>
  </sheetPr>
  <dimension ref="A1:P60"/>
  <sheetViews>
    <sheetView showGridLines="0" workbookViewId="0"/>
  </sheetViews>
  <sheetFormatPr defaultRowHeight="13.8"/>
  <cols>
    <col min="1" max="1" width="26" customWidth="1"/>
    <col min="2" max="3" width="16" customWidth="1"/>
    <col min="4" max="4" width="24" customWidth="1"/>
    <col min="5" max="5" width="18" customWidth="1"/>
    <col min="6" max="6" width="22" customWidth="1"/>
    <col min="7" max="7" width="43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95" customHeight="1">
      <c r="A2" s="46" t="s">
        <v>206</v>
      </c>
      <c r="B2" s="47"/>
      <c r="C2" s="47"/>
      <c r="D2" s="47"/>
      <c r="E2" s="47"/>
      <c r="F2" s="47"/>
      <c r="G2" s="47"/>
      <c r="H2" s="1"/>
      <c r="I2" s="1"/>
      <c r="J2" s="1"/>
      <c r="K2" s="1"/>
      <c r="L2" s="1"/>
      <c r="M2" s="1"/>
      <c r="N2" s="1"/>
      <c r="O2" s="1"/>
      <c r="P2" s="1"/>
    </row>
    <row r="3" spans="1:16">
      <c r="A3" s="48" t="s">
        <v>207</v>
      </c>
      <c r="B3" s="47"/>
      <c r="C3" s="47"/>
      <c r="D3" s="47"/>
      <c r="E3" s="47"/>
      <c r="F3" s="47"/>
      <c r="G3" s="47"/>
      <c r="H3" s="1"/>
      <c r="I3" s="1"/>
      <c r="J3" s="1"/>
      <c r="K3" s="1"/>
      <c r="L3" s="1"/>
      <c r="M3" s="1"/>
      <c r="N3" s="1"/>
      <c r="O3" s="1"/>
      <c r="P3" s="1"/>
    </row>
    <row r="4" spans="1:16">
      <c r="A4" s="2"/>
      <c r="B4" s="2"/>
      <c r="C4" s="2"/>
      <c r="D4" s="2"/>
      <c r="E4" s="2"/>
      <c r="F4" s="2"/>
      <c r="G4" s="2"/>
      <c r="H4" s="1"/>
      <c r="I4" s="1"/>
      <c r="J4" s="1"/>
      <c r="K4" s="1"/>
      <c r="L4" s="1"/>
      <c r="M4" s="1"/>
      <c r="N4" s="1"/>
      <c r="O4" s="1"/>
      <c r="P4" s="1"/>
    </row>
    <row r="5" spans="1:16" ht="19.95" customHeight="1">
      <c r="A5" s="49" t="s">
        <v>208</v>
      </c>
      <c r="B5" s="49" t="s">
        <v>208</v>
      </c>
      <c r="C5" s="49" t="s">
        <v>208</v>
      </c>
      <c r="D5" s="49" t="s">
        <v>208</v>
      </c>
      <c r="E5" s="49" t="s">
        <v>208</v>
      </c>
      <c r="F5" s="49" t="s">
        <v>208</v>
      </c>
      <c r="G5" s="49" t="s">
        <v>208</v>
      </c>
      <c r="H5" s="1"/>
      <c r="I5" s="1"/>
      <c r="J5" s="1"/>
      <c r="K5" s="1"/>
      <c r="L5" s="1"/>
      <c r="M5" s="1"/>
      <c r="N5" s="1"/>
      <c r="O5" s="1"/>
      <c r="P5" s="1"/>
    </row>
    <row r="6" spans="1:16">
      <c r="A6" s="3" t="s">
        <v>209</v>
      </c>
      <c r="B6" s="4" t="s">
        <v>210</v>
      </c>
      <c r="C6" s="4" t="s">
        <v>211</v>
      </c>
      <c r="D6" s="4" t="s">
        <v>212</v>
      </c>
      <c r="E6" s="4" t="s">
        <v>213</v>
      </c>
      <c r="F6" s="4" t="s">
        <v>214</v>
      </c>
      <c r="G6" s="5" t="s">
        <v>55</v>
      </c>
      <c r="H6" s="1"/>
      <c r="I6" s="1"/>
      <c r="J6" s="1"/>
      <c r="K6" s="1"/>
      <c r="L6" s="1"/>
      <c r="M6" s="1"/>
      <c r="N6" s="1"/>
      <c r="O6" s="1"/>
      <c r="P6" s="1"/>
    </row>
    <row r="7" spans="1:16">
      <c r="A7" s="1" t="s">
        <v>215</v>
      </c>
      <c r="B7" s="18">
        <v>1</v>
      </c>
      <c r="C7" s="18">
        <v>0</v>
      </c>
      <c r="D7" s="25">
        <f>'Scope 1'!D7*(B7*'EF Library'!$E$7+C7*'EF Library'!$E$10)/1000000+'Scope 1'!D7*(B7*'EF Library'!$E$8+C7*'EF Library'!$E$11)*Assumptions!D10/1000000+'Scope 1'!D7*(B7*'EF Library'!$E$9+C7*'EF Library'!$E$12)*Assumptions!D11/1000000</f>
        <v>7660.1466514349986</v>
      </c>
      <c r="E7" s="25">
        <f>D7+'Scope 1'!D19+'Scope 1'!D21</f>
        <v>8097.3123204349986</v>
      </c>
      <c r="F7" s="26">
        <f>(E7-'Scope 1'!D24)/'Scope 1'!D24</f>
        <v>2.8989301368374507E-2</v>
      </c>
      <c r="G7" s="1" t="s">
        <v>216</v>
      </c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217</v>
      </c>
      <c r="B8" s="18">
        <v>0.95</v>
      </c>
      <c r="C8" s="18">
        <v>0.05</v>
      </c>
      <c r="D8" s="25">
        <f>'Scope 1'!D7*(B8*'EF Library'!$E$7+C8*'EF Library'!$E$10)/1000000+'Scope 1'!D7*(B8*'EF Library'!$E$8+C8*'EF Library'!$E$11)*Assumptions!D10/1000000+'Scope 1'!D7*(B8*'EF Library'!$E$9+C8*'EF Library'!$E$12)*Assumptions!D11/1000000</f>
        <v>7771.9961178977492</v>
      </c>
      <c r="E8" s="25">
        <f>D8+'Scope 1'!D19+'Scope 1'!D21</f>
        <v>8209.1617868977482</v>
      </c>
      <c r="F8" s="26">
        <f>(E8-'Scope 1'!D24)/'Scope 1'!D24</f>
        <v>4.3202894694085246E-2</v>
      </c>
      <c r="G8" s="1" t="s">
        <v>218</v>
      </c>
      <c r="H8" s="1"/>
      <c r="I8" s="1"/>
      <c r="J8" s="1"/>
      <c r="K8" s="1"/>
      <c r="L8" s="1"/>
      <c r="M8" s="1"/>
      <c r="N8" s="1"/>
      <c r="O8" s="1"/>
      <c r="P8" s="1"/>
    </row>
    <row r="9" spans="1:16">
      <c r="A9" s="13" t="s">
        <v>219</v>
      </c>
      <c r="B9" s="37">
        <v>0.9</v>
      </c>
      <c r="C9" s="37">
        <v>0.1</v>
      </c>
      <c r="D9" s="35">
        <f>'Scope 1'!D7*(B9*'EF Library'!$E$7+C9*'EF Library'!$E$10)/1000000+'Scope 1'!D7*(B9*'EF Library'!$E$8+C9*'EF Library'!$E$11)*Assumptions!D10/1000000+'Scope 1'!D7*(B9*'EF Library'!$E$9+C9*'EF Library'!$E$12)*Assumptions!D11/1000000</f>
        <v>7883.8455843604988</v>
      </c>
      <c r="E9" s="35">
        <f>D9+'Scope 1'!D19+'Scope 1'!D21</f>
        <v>8321.0112533604988</v>
      </c>
      <c r="F9" s="38">
        <f>(E9-'Scope 1'!D24)/'Scope 1'!D24</f>
        <v>5.7416488019796097E-2</v>
      </c>
      <c r="G9" s="13" t="s">
        <v>220</v>
      </c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9.95" customHeight="1">
      <c r="A12" s="49" t="s">
        <v>221</v>
      </c>
      <c r="B12" s="49" t="s">
        <v>221</v>
      </c>
      <c r="C12" s="49" t="s">
        <v>221</v>
      </c>
      <c r="D12" s="49" t="s">
        <v>221</v>
      </c>
      <c r="E12" s="49" t="s">
        <v>221</v>
      </c>
      <c r="F12" s="49" t="s">
        <v>221</v>
      </c>
      <c r="G12" s="49" t="s">
        <v>221</v>
      </c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3" t="s">
        <v>222</v>
      </c>
      <c r="B13" s="4" t="s">
        <v>223</v>
      </c>
      <c r="C13" s="4" t="s">
        <v>48</v>
      </c>
      <c r="D13" s="4" t="s">
        <v>224</v>
      </c>
      <c r="E13" s="4" t="s">
        <v>225</v>
      </c>
      <c r="F13" s="4" t="s">
        <v>226</v>
      </c>
      <c r="G13" s="5" t="s">
        <v>55</v>
      </c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 t="s">
        <v>227</v>
      </c>
      <c r="B14" s="39">
        <v>0.8</v>
      </c>
      <c r="C14" s="25">
        <f>'Scope 2'!D8*B14</f>
        <v>97889.797777777785</v>
      </c>
      <c r="D14" s="25">
        <f>'Scope 1'!D22+C14</f>
        <v>105987.11009821278</v>
      </c>
      <c r="E14" s="25">
        <f>D14-$D$14</f>
        <v>0</v>
      </c>
      <c r="F14" s="1" t="s">
        <v>228</v>
      </c>
      <c r="G14" s="1" t="s">
        <v>229</v>
      </c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 t="s">
        <v>230</v>
      </c>
      <c r="B15" s="39">
        <v>0.84</v>
      </c>
      <c r="C15" s="25">
        <f>'Scope 2'!D8*B15</f>
        <v>102784.28766666667</v>
      </c>
      <c r="D15" s="25">
        <f>'Scope 1'!D22+C15</f>
        <v>110881.59998710167</v>
      </c>
      <c r="E15" s="25">
        <f>D15-$D$14</f>
        <v>4894.4898888888856</v>
      </c>
      <c r="F15" s="1" t="s">
        <v>231</v>
      </c>
      <c r="G15" s="1" t="s">
        <v>232</v>
      </c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3" t="s">
        <v>233</v>
      </c>
      <c r="B16" s="40">
        <v>0.87</v>
      </c>
      <c r="C16" s="35">
        <f>'Scope 2'!D8*B16</f>
        <v>106455.15508333333</v>
      </c>
      <c r="D16" s="35">
        <f>'Scope 1'!D22+C16</f>
        <v>114552.46740376833</v>
      </c>
      <c r="E16" s="35">
        <f>D16-$D$14</f>
        <v>8565.3573055555462</v>
      </c>
      <c r="F16" s="13" t="s">
        <v>231</v>
      </c>
      <c r="G16" s="13" t="s">
        <v>234</v>
      </c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</sheetData>
  <mergeCells count="4">
    <mergeCell ref="A2:G2"/>
    <mergeCell ref="A3:G3"/>
    <mergeCell ref="A5:G5"/>
    <mergeCell ref="A12:G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D966"/>
  </sheetPr>
  <dimension ref="A1:P60"/>
  <sheetViews>
    <sheetView showGridLines="0" workbookViewId="0">
      <pane ySplit="6" topLeftCell="A7" activePane="bottomLeft" state="frozen"/>
      <selection pane="bottomLeft"/>
    </sheetView>
  </sheetViews>
  <sheetFormatPr defaultRowHeight="13.8"/>
  <cols>
    <col min="1" max="1" width="18" customWidth="1"/>
    <col min="2" max="2" width="38" customWidth="1"/>
    <col min="3" max="3" width="28" customWidth="1"/>
    <col min="4" max="4" width="30" customWidth="1"/>
    <col min="5" max="5" width="32" customWidth="1"/>
    <col min="6" max="6" width="34" customWidth="1"/>
    <col min="7" max="7" width="20" customWidth="1"/>
    <col min="8" max="8" width="50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95" customHeight="1">
      <c r="A2" s="46" t="s">
        <v>235</v>
      </c>
      <c r="B2" s="47"/>
      <c r="C2" s="47"/>
      <c r="D2" s="47"/>
      <c r="E2" s="47"/>
      <c r="F2" s="47"/>
      <c r="G2" s="47"/>
      <c r="H2" s="47"/>
      <c r="I2" s="1"/>
      <c r="J2" s="1"/>
      <c r="K2" s="1"/>
      <c r="L2" s="1"/>
      <c r="M2" s="1"/>
      <c r="N2" s="1"/>
      <c r="O2" s="1"/>
      <c r="P2" s="1"/>
    </row>
    <row r="3" spans="1:16">
      <c r="A3" s="48" t="s">
        <v>236</v>
      </c>
      <c r="B3" s="47"/>
      <c r="C3" s="47"/>
      <c r="D3" s="47"/>
      <c r="E3" s="47"/>
      <c r="F3" s="47"/>
      <c r="G3" s="47"/>
      <c r="H3" s="47"/>
      <c r="I3" s="1"/>
      <c r="J3" s="1"/>
      <c r="K3" s="1"/>
      <c r="L3" s="1"/>
      <c r="M3" s="1"/>
      <c r="N3" s="1"/>
      <c r="O3" s="1"/>
      <c r="P3" s="1"/>
    </row>
    <row r="4" spans="1:16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ht="19.95" customHeight="1">
      <c r="A5" s="49" t="s">
        <v>237</v>
      </c>
      <c r="B5" s="49" t="s">
        <v>237</v>
      </c>
      <c r="C5" s="49" t="s">
        <v>237</v>
      </c>
      <c r="D5" s="49" t="s">
        <v>237</v>
      </c>
      <c r="E5" s="49" t="s">
        <v>237</v>
      </c>
      <c r="F5" s="49" t="s">
        <v>237</v>
      </c>
      <c r="G5" s="49" t="s">
        <v>237</v>
      </c>
      <c r="H5" s="49" t="s">
        <v>237</v>
      </c>
      <c r="I5" s="1"/>
      <c r="J5" s="1"/>
      <c r="K5" s="1"/>
      <c r="L5" s="1"/>
      <c r="M5" s="1"/>
      <c r="N5" s="1"/>
      <c r="O5" s="1"/>
      <c r="P5" s="1"/>
    </row>
    <row r="6" spans="1:16">
      <c r="A6" s="3" t="s">
        <v>238</v>
      </c>
      <c r="B6" s="4" t="s">
        <v>239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108</v>
      </c>
      <c r="H6" s="5" t="s">
        <v>240</v>
      </c>
      <c r="I6" s="1"/>
      <c r="J6" s="1"/>
      <c r="K6" s="1"/>
      <c r="L6" s="1"/>
      <c r="M6" s="1"/>
      <c r="N6" s="1"/>
      <c r="O6" s="1"/>
      <c r="P6" s="1"/>
    </row>
    <row r="7" spans="1:16">
      <c r="A7" s="1" t="s">
        <v>241</v>
      </c>
      <c r="B7" s="1" t="s">
        <v>242</v>
      </c>
      <c r="C7" s="1" t="s">
        <v>60</v>
      </c>
      <c r="D7" s="18">
        <v>1</v>
      </c>
      <c r="E7" s="18">
        <v>1</v>
      </c>
      <c r="F7" s="18">
        <v>1</v>
      </c>
      <c r="G7" s="1" t="s">
        <v>114</v>
      </c>
      <c r="H7" s="1" t="s">
        <v>243</v>
      </c>
      <c r="I7" s="1"/>
      <c r="J7" s="1"/>
      <c r="K7" s="1"/>
      <c r="L7" s="1"/>
      <c r="M7" s="1"/>
      <c r="N7" s="1"/>
      <c r="O7" s="1"/>
      <c r="P7" s="1"/>
    </row>
    <row r="8" spans="1:16">
      <c r="A8" s="1" t="s">
        <v>244</v>
      </c>
      <c r="B8" s="1" t="s">
        <v>245</v>
      </c>
      <c r="C8" s="1" t="s">
        <v>60</v>
      </c>
      <c r="D8" s="19">
        <f>1-D7</f>
        <v>0</v>
      </c>
      <c r="E8" s="19">
        <f>1-E7</f>
        <v>0</v>
      </c>
      <c r="F8" s="19">
        <f>1-F7</f>
        <v>0</v>
      </c>
      <c r="G8" s="1" t="s">
        <v>117</v>
      </c>
      <c r="H8" s="1" t="s">
        <v>246</v>
      </c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247</v>
      </c>
      <c r="B10" s="1" t="s">
        <v>248</v>
      </c>
      <c r="C10" s="1" t="s">
        <v>249</v>
      </c>
      <c r="D10" s="20">
        <v>28</v>
      </c>
      <c r="E10" s="20">
        <v>28</v>
      </c>
      <c r="F10" s="20">
        <v>28</v>
      </c>
      <c r="G10" s="1" t="s">
        <v>114</v>
      </c>
      <c r="H10" s="1" t="s">
        <v>250</v>
      </c>
      <c r="I10" s="1"/>
      <c r="J10" s="1"/>
      <c r="K10" s="1"/>
      <c r="L10" s="1"/>
      <c r="M10" s="1"/>
      <c r="N10" s="1"/>
      <c r="O10" s="1"/>
      <c r="P10" s="1"/>
    </row>
    <row r="11" spans="1:16">
      <c r="A11" s="1" t="s">
        <v>251</v>
      </c>
      <c r="B11" s="1" t="s">
        <v>252</v>
      </c>
      <c r="C11" s="1" t="s">
        <v>253</v>
      </c>
      <c r="D11" s="20">
        <v>265</v>
      </c>
      <c r="E11" s="20">
        <v>265</v>
      </c>
      <c r="F11" s="20">
        <v>265</v>
      </c>
      <c r="G11" s="1" t="s">
        <v>114</v>
      </c>
      <c r="H11" s="1" t="s">
        <v>250</v>
      </c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 t="s">
        <v>254</v>
      </c>
      <c r="B13" s="1" t="s">
        <v>255</v>
      </c>
      <c r="C13" s="1" t="s">
        <v>163</v>
      </c>
      <c r="D13" s="21">
        <v>0.8</v>
      </c>
      <c r="E13" s="21">
        <v>0.8</v>
      </c>
      <c r="F13" s="21">
        <v>0.8</v>
      </c>
      <c r="G13" s="1" t="s">
        <v>164</v>
      </c>
      <c r="H13" s="1" t="s">
        <v>256</v>
      </c>
      <c r="I13" s="1"/>
      <c r="J13" s="1"/>
      <c r="K13" s="1"/>
      <c r="L13" s="1"/>
      <c r="M13" s="1"/>
      <c r="N13" s="1"/>
      <c r="O13" s="1"/>
      <c r="P13" s="1"/>
    </row>
    <row r="14" spans="1:16">
      <c r="A14" s="1" t="s">
        <v>257</v>
      </c>
      <c r="B14" s="1" t="s">
        <v>258</v>
      </c>
      <c r="C14" s="1" t="s">
        <v>259</v>
      </c>
      <c r="D14" s="16">
        <v>2019</v>
      </c>
      <c r="E14" s="16">
        <v>2019</v>
      </c>
      <c r="F14" s="16">
        <v>2019</v>
      </c>
      <c r="G14" s="1" t="s">
        <v>260</v>
      </c>
      <c r="H14" s="1" t="s">
        <v>261</v>
      </c>
      <c r="I14" s="1"/>
      <c r="J14" s="1"/>
      <c r="K14" s="1"/>
      <c r="L14" s="1"/>
      <c r="M14" s="1"/>
      <c r="N14" s="1"/>
      <c r="O14" s="1"/>
      <c r="P14" s="1"/>
    </row>
    <row r="15" spans="1:16">
      <c r="A15" s="1" t="s">
        <v>262</v>
      </c>
      <c r="B15" s="1" t="s">
        <v>263</v>
      </c>
      <c r="C15" s="1" t="s">
        <v>60</v>
      </c>
      <c r="D15" s="21">
        <v>1</v>
      </c>
      <c r="E15" s="21">
        <v>1</v>
      </c>
      <c r="F15" s="21">
        <v>1</v>
      </c>
      <c r="G15" s="1" t="s">
        <v>114</v>
      </c>
      <c r="H15" s="1" t="s">
        <v>264</v>
      </c>
      <c r="I15" s="1"/>
      <c r="J15" s="1"/>
      <c r="K15" s="1"/>
      <c r="L15" s="1"/>
      <c r="M15" s="1"/>
      <c r="N15" s="1"/>
      <c r="O15" s="1"/>
      <c r="P15" s="1"/>
    </row>
    <row r="16" spans="1:16">
      <c r="A16" s="1" t="s">
        <v>265</v>
      </c>
      <c r="B16" s="1" t="s">
        <v>266</v>
      </c>
      <c r="C16" s="1" t="s">
        <v>172</v>
      </c>
      <c r="D16" s="21">
        <v>0</v>
      </c>
      <c r="E16" s="21">
        <v>0</v>
      </c>
      <c r="F16" s="21">
        <v>0</v>
      </c>
      <c r="G16" s="1" t="s">
        <v>169</v>
      </c>
      <c r="H16" s="1" t="s">
        <v>267</v>
      </c>
      <c r="I16" s="1"/>
      <c r="J16" s="1"/>
      <c r="K16" s="1"/>
      <c r="L16" s="1"/>
      <c r="M16" s="1"/>
      <c r="N16" s="1"/>
      <c r="O16" s="1"/>
      <c r="P16" s="1"/>
    </row>
    <row r="17" spans="1:16">
      <c r="A17" s="1" t="s">
        <v>268</v>
      </c>
      <c r="B17" s="1" t="s">
        <v>178</v>
      </c>
      <c r="C17" s="1" t="s">
        <v>172</v>
      </c>
      <c r="D17" s="22">
        <f>D13</f>
        <v>0.8</v>
      </c>
      <c r="E17" s="22">
        <f>E13</f>
        <v>0.8</v>
      </c>
      <c r="F17" s="22">
        <f>F13</f>
        <v>0.8</v>
      </c>
      <c r="G17" s="1" t="s">
        <v>179</v>
      </c>
      <c r="H17" s="1" t="s">
        <v>269</v>
      </c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 t="s">
        <v>270</v>
      </c>
      <c r="B19" s="1" t="s">
        <v>271</v>
      </c>
      <c r="C19" s="1" t="s">
        <v>60</v>
      </c>
      <c r="D19" s="18">
        <v>0.1</v>
      </c>
      <c r="E19" s="18">
        <v>0.1</v>
      </c>
      <c r="F19" s="18">
        <v>0.1</v>
      </c>
      <c r="G19" s="1" t="s">
        <v>272</v>
      </c>
      <c r="H19" s="1" t="s">
        <v>273</v>
      </c>
      <c r="I19" s="1"/>
      <c r="J19" s="1"/>
      <c r="K19" s="1"/>
      <c r="L19" s="1"/>
      <c r="M19" s="1"/>
      <c r="N19" s="1"/>
      <c r="O19" s="1"/>
      <c r="P19" s="1"/>
    </row>
    <row r="20" spans="1:16">
      <c r="A20" s="1" t="s">
        <v>274</v>
      </c>
      <c r="B20" s="1" t="s">
        <v>275</v>
      </c>
      <c r="C20" s="1" t="s">
        <v>190</v>
      </c>
      <c r="D20" s="16" t="s">
        <v>140</v>
      </c>
      <c r="E20" s="16" t="s">
        <v>140</v>
      </c>
      <c r="F20" s="16" t="s">
        <v>140</v>
      </c>
      <c r="G20" s="1" t="s">
        <v>98</v>
      </c>
      <c r="H20" s="1" t="s">
        <v>276</v>
      </c>
      <c r="I20" s="1"/>
      <c r="J20" s="1"/>
      <c r="K20" s="1"/>
      <c r="L20" s="1"/>
      <c r="M20" s="1"/>
      <c r="N20" s="1"/>
      <c r="O20" s="1"/>
      <c r="P20" s="1"/>
    </row>
    <row r="21" spans="1:16">
      <c r="A21" s="13" t="s">
        <v>277</v>
      </c>
      <c r="B21" s="13" t="s">
        <v>278</v>
      </c>
      <c r="C21" s="13" t="s">
        <v>190</v>
      </c>
      <c r="D21" s="17" t="s">
        <v>279</v>
      </c>
      <c r="E21" s="17" t="s">
        <v>279</v>
      </c>
      <c r="F21" s="17" t="s">
        <v>279</v>
      </c>
      <c r="G21" s="13" t="s">
        <v>280</v>
      </c>
      <c r="H21" s="13" t="s">
        <v>281</v>
      </c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9.95" customHeight="1">
      <c r="A23" s="49" t="s">
        <v>282</v>
      </c>
      <c r="B23" s="49" t="s">
        <v>282</v>
      </c>
      <c r="C23" s="49" t="s">
        <v>282</v>
      </c>
      <c r="D23" s="49" t="s">
        <v>282</v>
      </c>
      <c r="E23" s="49" t="s">
        <v>282</v>
      </c>
      <c r="F23" s="49" t="s">
        <v>282</v>
      </c>
      <c r="G23" s="49" t="s">
        <v>282</v>
      </c>
      <c r="H23" s="49" t="s">
        <v>282</v>
      </c>
      <c r="I23" s="1"/>
      <c r="J23" s="1"/>
      <c r="K23" s="1"/>
      <c r="L23" s="1"/>
      <c r="M23" s="1"/>
      <c r="N23" s="1"/>
      <c r="O23" s="1"/>
      <c r="P23" s="1"/>
    </row>
    <row r="24" spans="1:16">
      <c r="A24" s="3" t="s">
        <v>283</v>
      </c>
      <c r="B24" s="4" t="s">
        <v>284</v>
      </c>
      <c r="C24" s="4" t="s">
        <v>285</v>
      </c>
      <c r="D24" s="4" t="s">
        <v>286</v>
      </c>
      <c r="E24" s="4" t="s">
        <v>287</v>
      </c>
      <c r="F24" s="4" t="s">
        <v>288</v>
      </c>
      <c r="G24" s="4" t="s">
        <v>289</v>
      </c>
      <c r="H24" s="5" t="s">
        <v>2</v>
      </c>
      <c r="I24" s="1"/>
      <c r="J24" s="1"/>
      <c r="K24" s="1"/>
      <c r="L24" s="1"/>
      <c r="M24" s="1"/>
      <c r="N24" s="1"/>
      <c r="O24" s="1"/>
      <c r="P24" s="1"/>
    </row>
    <row r="25" spans="1:16" ht="48" customHeight="1">
      <c r="A25" s="23" t="s">
        <v>290</v>
      </c>
      <c r="B25" s="23" t="s">
        <v>291</v>
      </c>
      <c r="C25" s="23" t="s">
        <v>216</v>
      </c>
      <c r="D25" s="23" t="s">
        <v>292</v>
      </c>
      <c r="E25" s="23" t="s">
        <v>293</v>
      </c>
      <c r="F25" s="23" t="s">
        <v>294</v>
      </c>
      <c r="G25" s="23" t="s">
        <v>295</v>
      </c>
      <c r="H25" s="23" t="s">
        <v>296</v>
      </c>
      <c r="I25" s="1"/>
      <c r="J25" s="1"/>
      <c r="K25" s="1"/>
      <c r="L25" s="1"/>
      <c r="M25" s="1"/>
      <c r="N25" s="1"/>
      <c r="O25" s="1"/>
      <c r="P25" s="1"/>
    </row>
    <row r="26" spans="1:16" ht="48" customHeight="1">
      <c r="A26" s="23" t="s">
        <v>39</v>
      </c>
      <c r="B26" s="23" t="s">
        <v>297</v>
      </c>
      <c r="C26" s="23" t="s">
        <v>298</v>
      </c>
      <c r="D26" s="23" t="s">
        <v>299</v>
      </c>
      <c r="E26" s="23" t="s">
        <v>300</v>
      </c>
      <c r="F26" s="23" t="s">
        <v>301</v>
      </c>
      <c r="G26" s="23" t="s">
        <v>295</v>
      </c>
      <c r="H26" s="23" t="s">
        <v>296</v>
      </c>
      <c r="I26" s="1"/>
      <c r="J26" s="1"/>
      <c r="K26" s="1"/>
      <c r="L26" s="1"/>
      <c r="M26" s="1"/>
      <c r="N26" s="1"/>
      <c r="O26" s="1"/>
      <c r="P26" s="1"/>
    </row>
    <row r="27" spans="1:16" ht="48" customHeight="1">
      <c r="A27" s="23" t="s">
        <v>168</v>
      </c>
      <c r="B27" s="23" t="s">
        <v>302</v>
      </c>
      <c r="C27" s="23" t="s">
        <v>303</v>
      </c>
      <c r="D27" s="23" t="s">
        <v>304</v>
      </c>
      <c r="E27" s="23" t="s">
        <v>305</v>
      </c>
      <c r="F27" s="23" t="s">
        <v>306</v>
      </c>
      <c r="G27" s="23" t="s">
        <v>295</v>
      </c>
      <c r="H27" s="23" t="s">
        <v>183</v>
      </c>
      <c r="I27" s="1"/>
      <c r="J27" s="1"/>
      <c r="K27" s="1"/>
      <c r="L27" s="1"/>
      <c r="M27" s="1"/>
      <c r="N27" s="1"/>
      <c r="O27" s="1"/>
      <c r="P27" s="1"/>
    </row>
    <row r="28" spans="1:16" ht="48" customHeight="1">
      <c r="A28" s="23" t="s">
        <v>307</v>
      </c>
      <c r="B28" s="23" t="s">
        <v>308</v>
      </c>
      <c r="C28" s="23" t="s">
        <v>309</v>
      </c>
      <c r="D28" s="23" t="s">
        <v>310</v>
      </c>
      <c r="E28" s="23" t="s">
        <v>311</v>
      </c>
      <c r="F28" s="23" t="s">
        <v>312</v>
      </c>
      <c r="G28" s="23" t="s">
        <v>295</v>
      </c>
      <c r="H28" s="23" t="s">
        <v>296</v>
      </c>
      <c r="I28" s="1"/>
      <c r="J28" s="1"/>
      <c r="K28" s="1"/>
      <c r="L28" s="1"/>
      <c r="M28" s="1"/>
      <c r="N28" s="1"/>
      <c r="O28" s="1"/>
      <c r="P28" s="1"/>
    </row>
    <row r="29" spans="1:16" ht="48" customHeight="1">
      <c r="A29" s="23" t="s">
        <v>313</v>
      </c>
      <c r="B29" s="23" t="s">
        <v>314</v>
      </c>
      <c r="C29" s="23" t="s">
        <v>315</v>
      </c>
      <c r="D29" s="23" t="s">
        <v>316</v>
      </c>
      <c r="E29" s="23" t="s">
        <v>317</v>
      </c>
      <c r="F29" s="23" t="s">
        <v>318</v>
      </c>
      <c r="G29" s="23" t="s">
        <v>295</v>
      </c>
      <c r="H29" s="23" t="s">
        <v>296</v>
      </c>
      <c r="I29" s="1"/>
      <c r="J29" s="1"/>
      <c r="K29" s="1"/>
      <c r="L29" s="1"/>
      <c r="M29" s="1"/>
      <c r="N29" s="1"/>
      <c r="O29" s="1"/>
      <c r="P29" s="1"/>
    </row>
    <row r="30" spans="1:16" ht="48" customHeight="1">
      <c r="A30" s="23" t="s">
        <v>319</v>
      </c>
      <c r="B30" s="23" t="s">
        <v>140</v>
      </c>
      <c r="C30" s="23" t="s">
        <v>320</v>
      </c>
      <c r="D30" s="23" t="s">
        <v>321</v>
      </c>
      <c r="E30" s="23" t="s">
        <v>311</v>
      </c>
      <c r="F30" s="23" t="s">
        <v>322</v>
      </c>
      <c r="G30" s="23" t="s">
        <v>323</v>
      </c>
      <c r="H30" s="23" t="s">
        <v>324</v>
      </c>
      <c r="I30" s="1"/>
      <c r="J30" s="1"/>
      <c r="K30" s="1"/>
      <c r="L30" s="1"/>
      <c r="M30" s="1"/>
      <c r="N30" s="1"/>
      <c r="O30" s="1"/>
      <c r="P30" s="1"/>
    </row>
    <row r="31" spans="1:16" ht="48" customHeight="1">
      <c r="A31" s="24" t="s">
        <v>80</v>
      </c>
      <c r="B31" s="24" t="s">
        <v>100</v>
      </c>
      <c r="C31" s="24" t="s">
        <v>325</v>
      </c>
      <c r="D31" s="24" t="s">
        <v>326</v>
      </c>
      <c r="E31" s="24" t="s">
        <v>327</v>
      </c>
      <c r="F31" s="24" t="s">
        <v>328</v>
      </c>
      <c r="G31" s="24" t="s">
        <v>323</v>
      </c>
      <c r="H31" s="24" t="s">
        <v>83</v>
      </c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</sheetData>
  <mergeCells count="4">
    <mergeCell ref="A2:H2"/>
    <mergeCell ref="A3:H3"/>
    <mergeCell ref="A5:H5"/>
    <mergeCell ref="A23:H23"/>
  </mergeCells>
  <conditionalFormatting sqref="H25:H31">
    <cfRule type="containsText" dxfId="6" priority="1" operator="containsText" text="Open"/>
    <cfRule type="containsText" dxfId="5" priority="2" operator="containsText" text="Conditional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0"/>
  <sheetViews>
    <sheetView showGridLines="0" workbookViewId="0">
      <pane ySplit="6" topLeftCell="A7" activePane="bottomLeft" state="frozen"/>
      <selection pane="bottomLeft"/>
    </sheetView>
  </sheetViews>
  <sheetFormatPr defaultRowHeight="13.8"/>
  <cols>
    <col min="1" max="1" width="15" customWidth="1"/>
    <col min="2" max="2" width="42" customWidth="1"/>
    <col min="3" max="3" width="14" customWidth="1"/>
    <col min="4" max="6" width="15" customWidth="1"/>
    <col min="7" max="7" width="28" customWidth="1"/>
    <col min="8" max="8" width="34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95" customHeight="1">
      <c r="A2" s="46" t="s">
        <v>329</v>
      </c>
      <c r="B2" s="47"/>
      <c r="C2" s="47"/>
      <c r="D2" s="47"/>
      <c r="E2" s="47"/>
      <c r="F2" s="47"/>
      <c r="G2" s="47"/>
      <c r="H2" s="47"/>
      <c r="I2" s="1"/>
      <c r="J2" s="1"/>
      <c r="K2" s="1"/>
      <c r="L2" s="1"/>
      <c r="M2" s="1"/>
      <c r="N2" s="1"/>
      <c r="O2" s="1"/>
      <c r="P2" s="1"/>
    </row>
    <row r="3" spans="1:16">
      <c r="A3" s="48" t="s">
        <v>330</v>
      </c>
      <c r="B3" s="47"/>
      <c r="C3" s="47"/>
      <c r="D3" s="47"/>
      <c r="E3" s="47"/>
      <c r="F3" s="47"/>
      <c r="G3" s="47"/>
      <c r="H3" s="47"/>
      <c r="I3" s="1"/>
      <c r="J3" s="1"/>
      <c r="K3" s="1"/>
      <c r="L3" s="1"/>
      <c r="M3" s="1"/>
      <c r="N3" s="1"/>
      <c r="O3" s="1"/>
      <c r="P3" s="1"/>
    </row>
    <row r="4" spans="1:16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ht="19.95" customHeight="1">
      <c r="A5" s="49" t="s">
        <v>331</v>
      </c>
      <c r="B5" s="49" t="s">
        <v>331</v>
      </c>
      <c r="C5" s="49" t="s">
        <v>331</v>
      </c>
      <c r="D5" s="49" t="s">
        <v>331</v>
      </c>
      <c r="E5" s="49" t="s">
        <v>331</v>
      </c>
      <c r="F5" s="49" t="s">
        <v>331</v>
      </c>
      <c r="G5" s="49" t="s">
        <v>331</v>
      </c>
      <c r="H5" s="49" t="s">
        <v>331</v>
      </c>
      <c r="I5" s="1"/>
      <c r="J5" s="1"/>
      <c r="K5" s="1"/>
      <c r="L5" s="1"/>
      <c r="M5" s="1"/>
      <c r="N5" s="1"/>
      <c r="O5" s="1"/>
      <c r="P5" s="1"/>
    </row>
    <row r="6" spans="1:16">
      <c r="A6" s="3" t="s">
        <v>332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88</v>
      </c>
      <c r="H6" s="5" t="s">
        <v>108</v>
      </c>
      <c r="I6" s="1"/>
      <c r="J6" s="1"/>
      <c r="K6" s="1"/>
      <c r="L6" s="1"/>
      <c r="M6" s="1"/>
      <c r="N6" s="1"/>
      <c r="O6" s="1"/>
      <c r="P6" s="1"/>
    </row>
    <row r="7" spans="1:16">
      <c r="A7" s="6" t="s">
        <v>333</v>
      </c>
      <c r="B7" s="6" t="s">
        <v>110</v>
      </c>
      <c r="C7" s="6" t="s">
        <v>111</v>
      </c>
      <c r="D7" s="8">
        <v>132770.82999999999</v>
      </c>
      <c r="E7" s="8">
        <v>190893.4</v>
      </c>
      <c r="F7" s="8">
        <v>260355.13</v>
      </c>
      <c r="G7" s="6" t="s">
        <v>334</v>
      </c>
      <c r="H7" s="6" t="s">
        <v>17</v>
      </c>
      <c r="I7" s="1"/>
      <c r="J7" s="1"/>
      <c r="K7" s="1"/>
      <c r="L7" s="1"/>
      <c r="M7" s="1"/>
      <c r="N7" s="1"/>
      <c r="O7" s="1"/>
      <c r="P7" s="1"/>
    </row>
    <row r="8" spans="1:16">
      <c r="A8" s="6" t="s">
        <v>333</v>
      </c>
      <c r="B8" s="6" t="s">
        <v>129</v>
      </c>
      <c r="C8" s="6" t="s">
        <v>111</v>
      </c>
      <c r="D8" s="8">
        <v>83413.509999999995</v>
      </c>
      <c r="E8" s="8">
        <v>81789.649999999994</v>
      </c>
      <c r="F8" s="8">
        <v>90494.12</v>
      </c>
      <c r="G8" s="6" t="s">
        <v>334</v>
      </c>
      <c r="H8" s="6" t="s">
        <v>17</v>
      </c>
      <c r="I8" s="1"/>
      <c r="J8" s="1"/>
      <c r="K8" s="1"/>
      <c r="L8" s="1"/>
      <c r="M8" s="1"/>
      <c r="N8" s="1"/>
      <c r="O8" s="1"/>
      <c r="P8" s="1"/>
    </row>
    <row r="9" spans="1:16">
      <c r="A9" s="6" t="s">
        <v>333</v>
      </c>
      <c r="B9" s="6" t="s">
        <v>335</v>
      </c>
      <c r="C9" s="6" t="s">
        <v>111</v>
      </c>
      <c r="D9" s="8">
        <v>17800.2</v>
      </c>
      <c r="E9" s="8">
        <v>6254.28</v>
      </c>
      <c r="F9" s="8">
        <v>1148.5999999999999</v>
      </c>
      <c r="G9" s="6" t="s">
        <v>334</v>
      </c>
      <c r="H9" s="6" t="s">
        <v>17</v>
      </c>
      <c r="I9" s="1"/>
      <c r="J9" s="1"/>
      <c r="K9" s="1"/>
      <c r="L9" s="1"/>
      <c r="M9" s="1"/>
      <c r="N9" s="1"/>
      <c r="O9" s="1"/>
      <c r="P9" s="1"/>
    </row>
    <row r="10" spans="1:16">
      <c r="A10" s="6" t="s">
        <v>333</v>
      </c>
      <c r="B10" s="6" t="s">
        <v>336</v>
      </c>
      <c r="C10" s="6" t="s">
        <v>111</v>
      </c>
      <c r="D10" s="8">
        <v>440504.09</v>
      </c>
      <c r="E10" s="8">
        <v>451452.15</v>
      </c>
      <c r="F10" s="8">
        <v>486055.98</v>
      </c>
      <c r="G10" s="6" t="s">
        <v>334</v>
      </c>
      <c r="H10" s="6" t="s">
        <v>337</v>
      </c>
      <c r="I10" s="1"/>
      <c r="J10" s="1"/>
      <c r="K10" s="1"/>
      <c r="L10" s="1"/>
      <c r="M10" s="1"/>
      <c r="N10" s="1"/>
      <c r="O10" s="1"/>
      <c r="P10" s="1"/>
    </row>
    <row r="11" spans="1:16">
      <c r="A11" s="7" t="s">
        <v>333</v>
      </c>
      <c r="B11" s="7" t="s">
        <v>338</v>
      </c>
      <c r="C11" s="7" t="s">
        <v>111</v>
      </c>
      <c r="D11" s="9">
        <v>674488.63</v>
      </c>
      <c r="E11" s="9">
        <v>730389.48</v>
      </c>
      <c r="F11" s="9">
        <v>838053.83</v>
      </c>
      <c r="G11" s="7" t="s">
        <v>339</v>
      </c>
      <c r="H11" s="7" t="s">
        <v>17</v>
      </c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0"/>
      <c r="E12" s="10"/>
      <c r="F12" s="10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9.95" customHeight="1">
      <c r="A13" s="49" t="s">
        <v>340</v>
      </c>
      <c r="B13" s="49" t="s">
        <v>340</v>
      </c>
      <c r="C13" s="49" t="s">
        <v>340</v>
      </c>
      <c r="D13" s="51" t="s">
        <v>340</v>
      </c>
      <c r="E13" s="51" t="s">
        <v>340</v>
      </c>
      <c r="F13" s="51" t="s">
        <v>340</v>
      </c>
      <c r="G13" s="49" t="s">
        <v>340</v>
      </c>
      <c r="H13" s="49" t="s">
        <v>340</v>
      </c>
      <c r="I13" s="1"/>
      <c r="J13" s="1"/>
      <c r="K13" s="1"/>
      <c r="L13" s="1"/>
      <c r="M13" s="1"/>
      <c r="N13" s="1"/>
      <c r="O13" s="1"/>
      <c r="P13" s="1"/>
    </row>
    <row r="14" spans="1:16">
      <c r="A14" s="6" t="s">
        <v>333</v>
      </c>
      <c r="B14" s="6" t="s">
        <v>341</v>
      </c>
      <c r="C14" s="6" t="s">
        <v>111</v>
      </c>
      <c r="D14" s="8">
        <v>15562.26</v>
      </c>
      <c r="E14" s="8">
        <v>15837.58</v>
      </c>
      <c r="F14" s="8">
        <v>16348.04</v>
      </c>
      <c r="G14" s="6" t="s">
        <v>342</v>
      </c>
      <c r="H14" s="6" t="s">
        <v>17</v>
      </c>
      <c r="I14" s="1"/>
      <c r="J14" s="1"/>
      <c r="K14" s="1"/>
      <c r="L14" s="1"/>
      <c r="M14" s="1"/>
      <c r="N14" s="1"/>
      <c r="O14" s="1"/>
      <c r="P14" s="1"/>
    </row>
    <row r="15" spans="1:16">
      <c r="A15" s="6" t="s">
        <v>333</v>
      </c>
      <c r="B15" s="6" t="s">
        <v>343</v>
      </c>
      <c r="C15" s="6" t="s">
        <v>111</v>
      </c>
      <c r="D15" s="8">
        <v>607122.28</v>
      </c>
      <c r="E15" s="8">
        <v>692033.74</v>
      </c>
      <c r="F15" s="8">
        <v>798366.38</v>
      </c>
      <c r="G15" s="6" t="s">
        <v>342</v>
      </c>
      <c r="H15" s="6" t="s">
        <v>17</v>
      </c>
      <c r="I15" s="1"/>
      <c r="J15" s="1"/>
      <c r="K15" s="1"/>
      <c r="L15" s="1"/>
      <c r="M15" s="1"/>
      <c r="N15" s="1"/>
      <c r="O15" s="1"/>
      <c r="P15" s="1"/>
    </row>
    <row r="16" spans="1:16">
      <c r="A16" s="7" t="s">
        <v>333</v>
      </c>
      <c r="B16" s="7" t="s">
        <v>344</v>
      </c>
      <c r="C16" s="7" t="s">
        <v>111</v>
      </c>
      <c r="D16" s="9">
        <v>51804.09</v>
      </c>
      <c r="E16" s="9">
        <v>22518.16</v>
      </c>
      <c r="F16" s="9">
        <v>23339.41</v>
      </c>
      <c r="G16" s="7" t="s">
        <v>342</v>
      </c>
      <c r="H16" s="7" t="s">
        <v>17</v>
      </c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0"/>
      <c r="E17" s="10"/>
      <c r="F17" s="10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9.95" customHeight="1">
      <c r="A18" s="49" t="s">
        <v>345</v>
      </c>
      <c r="B18" s="49" t="s">
        <v>345</v>
      </c>
      <c r="C18" s="49" t="s">
        <v>345</v>
      </c>
      <c r="D18" s="51" t="s">
        <v>345</v>
      </c>
      <c r="E18" s="51" t="s">
        <v>345</v>
      </c>
      <c r="F18" s="51" t="s">
        <v>345</v>
      </c>
      <c r="G18" s="49" t="s">
        <v>345</v>
      </c>
      <c r="H18" s="49" t="s">
        <v>345</v>
      </c>
      <c r="I18" s="1"/>
      <c r="J18" s="1"/>
      <c r="K18" s="1"/>
      <c r="L18" s="1"/>
      <c r="M18" s="1"/>
      <c r="N18" s="1"/>
      <c r="O18" s="1"/>
      <c r="P18" s="1"/>
    </row>
    <row r="19" spans="1:16">
      <c r="A19" s="6" t="s">
        <v>56</v>
      </c>
      <c r="B19" s="6" t="s">
        <v>346</v>
      </c>
      <c r="C19" s="6" t="s">
        <v>13</v>
      </c>
      <c r="D19" s="8">
        <v>7590.51</v>
      </c>
      <c r="E19" s="8">
        <v>10710.42</v>
      </c>
      <c r="F19" s="8">
        <v>14525.7</v>
      </c>
      <c r="G19" s="6" t="s">
        <v>347</v>
      </c>
      <c r="H19" s="6" t="s">
        <v>17</v>
      </c>
      <c r="I19" s="1"/>
      <c r="J19" s="1"/>
      <c r="K19" s="1"/>
      <c r="L19" s="1"/>
      <c r="M19" s="1"/>
      <c r="N19" s="1"/>
      <c r="O19" s="1"/>
      <c r="P19" s="1"/>
    </row>
    <row r="20" spans="1:16">
      <c r="A20" s="6" t="s">
        <v>56</v>
      </c>
      <c r="B20" s="6" t="s">
        <v>319</v>
      </c>
      <c r="C20" s="6" t="s">
        <v>13</v>
      </c>
      <c r="D20" s="8">
        <v>278.68</v>
      </c>
      <c r="E20" s="8">
        <v>249.99</v>
      </c>
      <c r="F20" s="8">
        <v>137.19999999999999</v>
      </c>
      <c r="G20" s="6" t="s">
        <v>347</v>
      </c>
      <c r="H20" s="6" t="s">
        <v>348</v>
      </c>
      <c r="I20" s="1"/>
      <c r="J20" s="1"/>
      <c r="K20" s="1"/>
      <c r="L20" s="1"/>
      <c r="M20" s="1"/>
      <c r="N20" s="1"/>
      <c r="O20" s="1"/>
      <c r="P20" s="1"/>
    </row>
    <row r="21" spans="1:16">
      <c r="A21" s="6" t="s">
        <v>56</v>
      </c>
      <c r="B21" s="6" t="s">
        <v>213</v>
      </c>
      <c r="C21" s="6" t="s">
        <v>13</v>
      </c>
      <c r="D21" s="8">
        <v>7869.19</v>
      </c>
      <c r="E21" s="8">
        <v>10960.41</v>
      </c>
      <c r="F21" s="8">
        <v>14662.9</v>
      </c>
      <c r="G21" s="6" t="s">
        <v>347</v>
      </c>
      <c r="H21" s="6" t="s">
        <v>17</v>
      </c>
      <c r="I21" s="1"/>
      <c r="J21" s="1"/>
      <c r="K21" s="1"/>
      <c r="L21" s="1"/>
      <c r="M21" s="1"/>
      <c r="N21" s="1"/>
      <c r="O21" s="1"/>
      <c r="P21" s="1"/>
    </row>
    <row r="22" spans="1:16">
      <c r="A22" s="6" t="s">
        <v>63</v>
      </c>
      <c r="B22" s="6" t="s">
        <v>349</v>
      </c>
      <c r="C22" s="6" t="s">
        <v>13</v>
      </c>
      <c r="D22" s="6" t="s">
        <v>350</v>
      </c>
      <c r="E22" s="6" t="s">
        <v>350</v>
      </c>
      <c r="F22" s="6" t="s">
        <v>350</v>
      </c>
      <c r="G22" s="6" t="s">
        <v>347</v>
      </c>
      <c r="H22" s="6" t="s">
        <v>351</v>
      </c>
      <c r="I22" s="1"/>
      <c r="J22" s="1"/>
      <c r="K22" s="1"/>
      <c r="L22" s="1"/>
      <c r="M22" s="1"/>
      <c r="N22" s="1"/>
      <c r="O22" s="1"/>
      <c r="P22" s="1"/>
    </row>
    <row r="23" spans="1:16">
      <c r="A23" s="7" t="s">
        <v>63</v>
      </c>
      <c r="B23" s="7" t="s">
        <v>352</v>
      </c>
      <c r="C23" s="7" t="s">
        <v>13</v>
      </c>
      <c r="D23" s="7">
        <v>0</v>
      </c>
      <c r="E23" s="7" t="s">
        <v>350</v>
      </c>
      <c r="F23" s="7">
        <v>0</v>
      </c>
      <c r="G23" s="7" t="s">
        <v>353</v>
      </c>
      <c r="H23" s="7" t="s">
        <v>354</v>
      </c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9.95" customHeight="1">
      <c r="A25" s="49" t="s">
        <v>355</v>
      </c>
      <c r="B25" s="49" t="s">
        <v>355</v>
      </c>
      <c r="C25" s="49" t="s">
        <v>355</v>
      </c>
      <c r="D25" s="49" t="s">
        <v>355</v>
      </c>
      <c r="E25" s="49" t="s">
        <v>355</v>
      </c>
      <c r="F25" s="49" t="s">
        <v>355</v>
      </c>
      <c r="G25" s="49" t="s">
        <v>355</v>
      </c>
      <c r="H25" s="49" t="s">
        <v>355</v>
      </c>
      <c r="I25" s="1"/>
      <c r="J25" s="1"/>
      <c r="K25" s="1"/>
      <c r="L25" s="1"/>
      <c r="M25" s="1"/>
      <c r="N25" s="1"/>
      <c r="O25" s="1"/>
      <c r="P25" s="1"/>
    </row>
    <row r="26" spans="1:16">
      <c r="A26" s="6" t="s">
        <v>356</v>
      </c>
      <c r="B26" s="6" t="s">
        <v>357</v>
      </c>
      <c r="C26" s="6" t="s">
        <v>358</v>
      </c>
      <c r="D26" s="11">
        <v>31943361</v>
      </c>
      <c r="E26" s="11">
        <v>30622614</v>
      </c>
      <c r="F26" s="11">
        <v>38611401</v>
      </c>
      <c r="G26" s="6" t="s">
        <v>359</v>
      </c>
      <c r="H26" s="6" t="s">
        <v>360</v>
      </c>
      <c r="I26" s="1"/>
      <c r="J26" s="1"/>
      <c r="K26" s="1"/>
      <c r="L26" s="1"/>
      <c r="M26" s="1"/>
      <c r="N26" s="1"/>
      <c r="O26" s="1"/>
      <c r="P26" s="1"/>
    </row>
    <row r="27" spans="1:16">
      <c r="A27" s="7" t="s">
        <v>361</v>
      </c>
      <c r="B27" s="7" t="s">
        <v>362</v>
      </c>
      <c r="C27" s="7" t="s">
        <v>60</v>
      </c>
      <c r="D27" s="12">
        <v>0.94340000000000002</v>
      </c>
      <c r="E27" s="12">
        <v>0.92</v>
      </c>
      <c r="F27" s="12">
        <v>0.89449999999999996</v>
      </c>
      <c r="G27" s="7" t="s">
        <v>353</v>
      </c>
      <c r="H27" s="7" t="s">
        <v>363</v>
      </c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9.95" customHeight="1">
      <c r="A29" s="49" t="s">
        <v>364</v>
      </c>
      <c r="B29" s="49" t="s">
        <v>364</v>
      </c>
      <c r="C29" s="49" t="s">
        <v>364</v>
      </c>
      <c r="D29" s="49" t="s">
        <v>364</v>
      </c>
      <c r="E29" s="49" t="s">
        <v>364</v>
      </c>
      <c r="F29" s="49" t="s">
        <v>364</v>
      </c>
      <c r="G29" s="49" t="s">
        <v>364</v>
      </c>
      <c r="H29" s="49" t="s">
        <v>364</v>
      </c>
      <c r="I29" s="1"/>
      <c r="J29" s="1"/>
      <c r="K29" s="1"/>
      <c r="L29" s="1"/>
      <c r="M29" s="1"/>
      <c r="N29" s="1"/>
      <c r="O29" s="1"/>
      <c r="P29" s="1"/>
    </row>
    <row r="30" spans="1:16">
      <c r="A30" s="6" t="s">
        <v>365</v>
      </c>
      <c r="B30" s="6" t="s">
        <v>366</v>
      </c>
      <c r="C30" s="6" t="s">
        <v>190</v>
      </c>
      <c r="D30" s="6" t="s">
        <v>87</v>
      </c>
      <c r="E30" s="6"/>
      <c r="F30" s="6"/>
      <c r="G30" s="6" t="s">
        <v>367</v>
      </c>
      <c r="H30" s="6" t="s">
        <v>17</v>
      </c>
      <c r="I30" s="1"/>
      <c r="J30" s="1"/>
      <c r="K30" s="1"/>
      <c r="L30" s="1"/>
      <c r="M30" s="1"/>
      <c r="N30" s="1"/>
      <c r="O30" s="1"/>
      <c r="P30" s="1"/>
    </row>
    <row r="31" spans="1:16">
      <c r="A31" s="6" t="s">
        <v>365</v>
      </c>
      <c r="B31" s="6" t="s">
        <v>368</v>
      </c>
      <c r="C31" s="6" t="s">
        <v>190</v>
      </c>
      <c r="D31" s="6" t="s">
        <v>91</v>
      </c>
      <c r="E31" s="6"/>
      <c r="F31" s="6"/>
      <c r="G31" s="6" t="s">
        <v>369</v>
      </c>
      <c r="H31" s="6" t="s">
        <v>17</v>
      </c>
      <c r="I31" s="1"/>
      <c r="J31" s="1"/>
      <c r="K31" s="1"/>
      <c r="L31" s="1"/>
      <c r="M31" s="1"/>
      <c r="N31" s="1"/>
      <c r="O31" s="1"/>
      <c r="P31" s="1"/>
    </row>
    <row r="32" spans="1:16">
      <c r="A32" s="6" t="s">
        <v>43</v>
      </c>
      <c r="B32" s="6" t="s">
        <v>370</v>
      </c>
      <c r="C32" s="6" t="s">
        <v>371</v>
      </c>
      <c r="D32" s="6">
        <v>11</v>
      </c>
      <c r="E32" s="6">
        <v>3</v>
      </c>
      <c r="F32" s="6"/>
      <c r="G32" s="6" t="s">
        <v>367</v>
      </c>
      <c r="H32" s="6" t="s">
        <v>372</v>
      </c>
      <c r="I32" s="1"/>
      <c r="J32" s="1"/>
      <c r="K32" s="1"/>
      <c r="L32" s="1"/>
      <c r="M32" s="1"/>
      <c r="N32" s="1"/>
      <c r="O32" s="1"/>
      <c r="P32" s="1"/>
    </row>
    <row r="33" spans="1:16">
      <c r="A33" s="6" t="s">
        <v>43</v>
      </c>
      <c r="B33" s="6" t="s">
        <v>373</v>
      </c>
      <c r="C33" s="6" t="s">
        <v>190</v>
      </c>
      <c r="D33" s="6" t="s">
        <v>374</v>
      </c>
      <c r="E33" s="6"/>
      <c r="F33" s="6"/>
      <c r="G33" s="6" t="s">
        <v>375</v>
      </c>
      <c r="H33" s="6" t="s">
        <v>376</v>
      </c>
      <c r="I33" s="1"/>
      <c r="J33" s="1"/>
      <c r="K33" s="1"/>
      <c r="L33" s="1"/>
      <c r="M33" s="1"/>
      <c r="N33" s="1"/>
      <c r="O33" s="1"/>
      <c r="P33" s="1"/>
    </row>
    <row r="34" spans="1:16">
      <c r="A34" s="7" t="s">
        <v>45</v>
      </c>
      <c r="B34" s="7" t="s">
        <v>80</v>
      </c>
      <c r="C34" s="7" t="s">
        <v>190</v>
      </c>
      <c r="D34" s="7" t="s">
        <v>377</v>
      </c>
      <c r="E34" s="7"/>
      <c r="F34" s="7"/>
      <c r="G34" s="7" t="s">
        <v>378</v>
      </c>
      <c r="H34" s="7" t="s">
        <v>379</v>
      </c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</sheetData>
  <mergeCells count="7">
    <mergeCell ref="A25:H25"/>
    <mergeCell ref="A29:H29"/>
    <mergeCell ref="A2:H2"/>
    <mergeCell ref="A3:H3"/>
    <mergeCell ref="A5:H5"/>
    <mergeCell ref="A13:H13"/>
    <mergeCell ref="A18:H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60"/>
  <sheetViews>
    <sheetView showGridLines="0" workbookViewId="0">
      <pane ySplit="6" topLeftCell="A7" activePane="bottomLeft" state="frozen"/>
      <selection pane="bottomLeft"/>
    </sheetView>
  </sheetViews>
  <sheetFormatPr defaultRowHeight="13.8"/>
  <cols>
    <col min="1" max="1" width="17" customWidth="1"/>
    <col min="2" max="2" width="33" customWidth="1"/>
    <col min="3" max="3" width="12" customWidth="1"/>
    <col min="4" max="4" width="16" customWidth="1"/>
    <col min="5" max="5" width="13" customWidth="1"/>
    <col min="6" max="6" width="26" customWidth="1"/>
    <col min="7" max="7" width="35" customWidth="1"/>
    <col min="8" max="8" width="46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95" customHeight="1">
      <c r="A2" s="46" t="s">
        <v>380</v>
      </c>
      <c r="B2" s="47"/>
      <c r="C2" s="47"/>
      <c r="D2" s="47"/>
      <c r="E2" s="47"/>
      <c r="F2" s="47"/>
      <c r="G2" s="47"/>
      <c r="H2" s="47"/>
      <c r="I2" s="1"/>
      <c r="J2" s="1"/>
      <c r="K2" s="1"/>
      <c r="L2" s="1"/>
      <c r="M2" s="1"/>
      <c r="N2" s="1"/>
      <c r="O2" s="1"/>
      <c r="P2" s="1"/>
    </row>
    <row r="3" spans="1:16">
      <c r="A3" s="48" t="s">
        <v>381</v>
      </c>
      <c r="B3" s="47"/>
      <c r="C3" s="47"/>
      <c r="D3" s="47"/>
      <c r="E3" s="47"/>
      <c r="F3" s="47"/>
      <c r="G3" s="47"/>
      <c r="H3" s="47"/>
      <c r="I3" s="1"/>
      <c r="J3" s="1"/>
      <c r="K3" s="1"/>
      <c r="L3" s="1"/>
      <c r="M3" s="1"/>
      <c r="N3" s="1"/>
      <c r="O3" s="1"/>
      <c r="P3" s="1"/>
    </row>
    <row r="4" spans="1:16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ht="19.95" customHeight="1">
      <c r="A5" s="49" t="s">
        <v>382</v>
      </c>
      <c r="B5" s="49" t="s">
        <v>382</v>
      </c>
      <c r="C5" s="49" t="s">
        <v>382</v>
      </c>
      <c r="D5" s="49" t="s">
        <v>382</v>
      </c>
      <c r="E5" s="49" t="s">
        <v>382</v>
      </c>
      <c r="F5" s="49" t="s">
        <v>382</v>
      </c>
      <c r="G5" s="49" t="s">
        <v>382</v>
      </c>
      <c r="H5" s="49" t="s">
        <v>382</v>
      </c>
      <c r="I5" s="1"/>
      <c r="J5" s="1"/>
      <c r="K5" s="1"/>
      <c r="L5" s="1"/>
      <c r="M5" s="1"/>
      <c r="N5" s="1"/>
      <c r="O5" s="1"/>
      <c r="P5" s="1"/>
    </row>
    <row r="6" spans="1:16">
      <c r="A6" s="3" t="s">
        <v>238</v>
      </c>
      <c r="B6" s="4" t="s">
        <v>383</v>
      </c>
      <c r="C6" s="4" t="s">
        <v>384</v>
      </c>
      <c r="D6" s="4" t="s">
        <v>385</v>
      </c>
      <c r="E6" s="4" t="s">
        <v>386</v>
      </c>
      <c r="F6" s="4" t="s">
        <v>387</v>
      </c>
      <c r="G6" s="4" t="s">
        <v>88</v>
      </c>
      <c r="H6" s="5" t="s">
        <v>388</v>
      </c>
      <c r="I6" s="1"/>
      <c r="J6" s="1"/>
      <c r="K6" s="1"/>
      <c r="L6" s="1"/>
      <c r="M6" s="1"/>
      <c r="N6" s="1"/>
      <c r="O6" s="1"/>
      <c r="P6" s="1"/>
    </row>
    <row r="7" spans="1:16">
      <c r="A7" s="6" t="s">
        <v>389</v>
      </c>
      <c r="B7" s="6" t="s">
        <v>390</v>
      </c>
      <c r="C7" s="6" t="s">
        <v>391</v>
      </c>
      <c r="D7" s="6" t="s">
        <v>392</v>
      </c>
      <c r="E7" s="14">
        <v>57640</v>
      </c>
      <c r="F7" s="6" t="s">
        <v>393</v>
      </c>
      <c r="G7" s="6" t="s">
        <v>394</v>
      </c>
      <c r="H7" s="6" t="s">
        <v>395</v>
      </c>
      <c r="I7" s="1"/>
      <c r="J7" s="1"/>
      <c r="K7" s="1"/>
      <c r="L7" s="1"/>
      <c r="M7" s="1"/>
      <c r="N7" s="1"/>
      <c r="O7" s="1"/>
      <c r="P7" s="1"/>
    </row>
    <row r="8" spans="1:16">
      <c r="A8" s="6" t="s">
        <v>396</v>
      </c>
      <c r="B8" s="6" t="s">
        <v>390</v>
      </c>
      <c r="C8" s="6" t="s">
        <v>397</v>
      </c>
      <c r="D8" s="6" t="s">
        <v>392</v>
      </c>
      <c r="E8" s="14">
        <v>1</v>
      </c>
      <c r="F8" s="6" t="s">
        <v>393</v>
      </c>
      <c r="G8" s="6" t="s">
        <v>398</v>
      </c>
      <c r="H8" s="6" t="s">
        <v>399</v>
      </c>
      <c r="I8" s="1"/>
      <c r="J8" s="1"/>
      <c r="K8" s="1"/>
      <c r="L8" s="1"/>
      <c r="M8" s="1"/>
      <c r="N8" s="1"/>
      <c r="O8" s="1"/>
      <c r="P8" s="1"/>
    </row>
    <row r="9" spans="1:16">
      <c r="A9" s="6" t="s">
        <v>400</v>
      </c>
      <c r="B9" s="6" t="s">
        <v>390</v>
      </c>
      <c r="C9" s="6" t="s">
        <v>401</v>
      </c>
      <c r="D9" s="6" t="s">
        <v>392</v>
      </c>
      <c r="E9" s="14">
        <v>0.1</v>
      </c>
      <c r="F9" s="6" t="s">
        <v>393</v>
      </c>
      <c r="G9" s="6" t="s">
        <v>398</v>
      </c>
      <c r="H9" s="6" t="s">
        <v>399</v>
      </c>
      <c r="I9" s="1"/>
      <c r="J9" s="1"/>
      <c r="K9" s="1"/>
      <c r="L9" s="1"/>
      <c r="M9" s="1"/>
      <c r="N9" s="1"/>
      <c r="O9" s="1"/>
      <c r="P9" s="1"/>
    </row>
    <row r="10" spans="1:16">
      <c r="A10" s="6" t="s">
        <v>402</v>
      </c>
      <c r="B10" s="6" t="s">
        <v>403</v>
      </c>
      <c r="C10" s="6" t="s">
        <v>391</v>
      </c>
      <c r="D10" s="6" t="s">
        <v>392</v>
      </c>
      <c r="E10" s="14">
        <v>74300</v>
      </c>
      <c r="F10" s="6" t="s">
        <v>393</v>
      </c>
      <c r="G10" s="6" t="s">
        <v>394</v>
      </c>
      <c r="H10" s="6" t="s">
        <v>395</v>
      </c>
      <c r="I10" s="1"/>
      <c r="J10" s="1"/>
      <c r="K10" s="1"/>
      <c r="L10" s="1"/>
      <c r="M10" s="1"/>
      <c r="N10" s="1"/>
      <c r="O10" s="1"/>
      <c r="P10" s="1"/>
    </row>
    <row r="11" spans="1:16">
      <c r="A11" s="6" t="s">
        <v>404</v>
      </c>
      <c r="B11" s="6" t="s">
        <v>403</v>
      </c>
      <c r="C11" s="6" t="s">
        <v>397</v>
      </c>
      <c r="D11" s="6" t="s">
        <v>392</v>
      </c>
      <c r="E11" s="14">
        <v>3</v>
      </c>
      <c r="F11" s="6" t="s">
        <v>393</v>
      </c>
      <c r="G11" s="6" t="s">
        <v>398</v>
      </c>
      <c r="H11" s="6" t="s">
        <v>399</v>
      </c>
      <c r="I11" s="1"/>
      <c r="J11" s="1"/>
      <c r="K11" s="1"/>
      <c r="L11" s="1"/>
      <c r="M11" s="1"/>
      <c r="N11" s="1"/>
      <c r="O11" s="1"/>
      <c r="P11" s="1"/>
    </row>
    <row r="12" spans="1:16">
      <c r="A12" s="6" t="s">
        <v>405</v>
      </c>
      <c r="B12" s="6" t="s">
        <v>403</v>
      </c>
      <c r="C12" s="6" t="s">
        <v>401</v>
      </c>
      <c r="D12" s="6" t="s">
        <v>392</v>
      </c>
      <c r="E12" s="14">
        <v>0.6</v>
      </c>
      <c r="F12" s="6" t="s">
        <v>393</v>
      </c>
      <c r="G12" s="6" t="s">
        <v>398</v>
      </c>
      <c r="H12" s="6" t="s">
        <v>399</v>
      </c>
      <c r="I12" s="1"/>
      <c r="J12" s="1"/>
      <c r="K12" s="1"/>
      <c r="L12" s="1"/>
      <c r="M12" s="1"/>
      <c r="N12" s="1"/>
      <c r="O12" s="1"/>
      <c r="P12" s="1"/>
    </row>
    <row r="13" spans="1:16">
      <c r="A13" s="6" t="s">
        <v>406</v>
      </c>
      <c r="B13" s="6" t="s">
        <v>407</v>
      </c>
      <c r="C13" s="6" t="s">
        <v>391</v>
      </c>
      <c r="D13" s="6" t="s">
        <v>392</v>
      </c>
      <c r="E13" s="14">
        <v>112000</v>
      </c>
      <c r="F13" s="6" t="s">
        <v>408</v>
      </c>
      <c r="G13" s="6" t="s">
        <v>398</v>
      </c>
      <c r="H13" s="6" t="s">
        <v>35</v>
      </c>
      <c r="I13" s="1"/>
      <c r="J13" s="1"/>
      <c r="K13" s="1"/>
      <c r="L13" s="1"/>
      <c r="M13" s="1"/>
      <c r="N13" s="1"/>
      <c r="O13" s="1"/>
      <c r="P13" s="1"/>
    </row>
    <row r="14" spans="1:16">
      <c r="A14" s="6" t="s">
        <v>409</v>
      </c>
      <c r="B14" s="6" t="s">
        <v>407</v>
      </c>
      <c r="C14" s="6" t="s">
        <v>397</v>
      </c>
      <c r="D14" s="6" t="s">
        <v>392</v>
      </c>
      <c r="E14" s="14">
        <v>30</v>
      </c>
      <c r="F14" s="6" t="s">
        <v>410</v>
      </c>
      <c r="G14" s="6" t="s">
        <v>398</v>
      </c>
      <c r="H14" s="6" t="s">
        <v>135</v>
      </c>
      <c r="I14" s="1"/>
      <c r="J14" s="1"/>
      <c r="K14" s="1"/>
      <c r="L14" s="1"/>
      <c r="M14" s="1"/>
      <c r="N14" s="1"/>
      <c r="O14" s="1"/>
      <c r="P14" s="1"/>
    </row>
    <row r="15" spans="1:16">
      <c r="A15" s="6" t="s">
        <v>411</v>
      </c>
      <c r="B15" s="6" t="s">
        <v>407</v>
      </c>
      <c r="C15" s="6" t="s">
        <v>401</v>
      </c>
      <c r="D15" s="6" t="s">
        <v>392</v>
      </c>
      <c r="E15" s="14">
        <v>4</v>
      </c>
      <c r="F15" s="6" t="s">
        <v>410</v>
      </c>
      <c r="G15" s="6" t="s">
        <v>398</v>
      </c>
      <c r="H15" s="6" t="s">
        <v>135</v>
      </c>
      <c r="I15" s="1"/>
      <c r="J15" s="1"/>
      <c r="K15" s="1"/>
      <c r="L15" s="1"/>
      <c r="M15" s="1"/>
      <c r="N15" s="1"/>
      <c r="O15" s="1"/>
      <c r="P15" s="1"/>
    </row>
    <row r="16" spans="1:16">
      <c r="A16" s="6" t="s">
        <v>412</v>
      </c>
      <c r="B16" s="6" t="s">
        <v>413</v>
      </c>
      <c r="C16" s="6" t="s">
        <v>391</v>
      </c>
      <c r="D16" s="6" t="s">
        <v>163</v>
      </c>
      <c r="E16" s="14">
        <v>0.8</v>
      </c>
      <c r="F16" s="6" t="s">
        <v>414</v>
      </c>
      <c r="G16" s="6" t="s">
        <v>415</v>
      </c>
      <c r="H16" s="6" t="s">
        <v>416</v>
      </c>
      <c r="I16" s="1"/>
      <c r="J16" s="1"/>
      <c r="K16" s="1"/>
      <c r="L16" s="1"/>
      <c r="M16" s="1"/>
      <c r="N16" s="1"/>
      <c r="O16" s="1"/>
      <c r="P16" s="1"/>
    </row>
    <row r="17" spans="1:16">
      <c r="A17" s="6" t="s">
        <v>417</v>
      </c>
      <c r="B17" s="6" t="s">
        <v>418</v>
      </c>
      <c r="C17" s="6" t="s">
        <v>391</v>
      </c>
      <c r="D17" s="6" t="s">
        <v>163</v>
      </c>
      <c r="E17" s="14">
        <v>0.84</v>
      </c>
      <c r="F17" s="6" t="s">
        <v>231</v>
      </c>
      <c r="G17" s="6" t="s">
        <v>415</v>
      </c>
      <c r="H17" s="6" t="s">
        <v>419</v>
      </c>
      <c r="I17" s="1"/>
      <c r="J17" s="1"/>
      <c r="K17" s="1"/>
      <c r="L17" s="1"/>
      <c r="M17" s="1"/>
      <c r="N17" s="1"/>
      <c r="O17" s="1"/>
      <c r="P17" s="1"/>
    </row>
    <row r="18" spans="1:16">
      <c r="A18" s="6" t="s">
        <v>420</v>
      </c>
      <c r="B18" s="6" t="s">
        <v>421</v>
      </c>
      <c r="C18" s="6" t="s">
        <v>391</v>
      </c>
      <c r="D18" s="6" t="s">
        <v>163</v>
      </c>
      <c r="E18" s="14">
        <v>0.87</v>
      </c>
      <c r="F18" s="6" t="s">
        <v>231</v>
      </c>
      <c r="G18" s="6" t="s">
        <v>415</v>
      </c>
      <c r="H18" s="6" t="s">
        <v>419</v>
      </c>
      <c r="I18" s="1"/>
      <c r="J18" s="1"/>
      <c r="K18" s="1"/>
      <c r="L18" s="1"/>
      <c r="M18" s="1"/>
      <c r="N18" s="1"/>
      <c r="O18" s="1"/>
      <c r="P18" s="1"/>
    </row>
    <row r="19" spans="1:16">
      <c r="A19" s="6" t="s">
        <v>422</v>
      </c>
      <c r="B19" s="6" t="s">
        <v>423</v>
      </c>
      <c r="C19" s="6" t="s">
        <v>424</v>
      </c>
      <c r="D19" s="6" t="s">
        <v>172</v>
      </c>
      <c r="E19" s="14">
        <v>0</v>
      </c>
      <c r="F19" s="6" t="s">
        <v>425</v>
      </c>
      <c r="G19" s="6" t="s">
        <v>426</v>
      </c>
      <c r="H19" s="6" t="s">
        <v>427</v>
      </c>
      <c r="I19" s="1"/>
      <c r="J19" s="1"/>
      <c r="K19" s="1"/>
      <c r="L19" s="1"/>
      <c r="M19" s="1"/>
      <c r="N19" s="1"/>
      <c r="O19" s="1"/>
      <c r="P19" s="1"/>
    </row>
    <row r="20" spans="1:16">
      <c r="A20" s="6" t="s">
        <v>428</v>
      </c>
      <c r="B20" s="6" t="s">
        <v>429</v>
      </c>
      <c r="C20" s="6" t="s">
        <v>397</v>
      </c>
      <c r="D20" s="6" t="s">
        <v>430</v>
      </c>
      <c r="E20" s="14">
        <v>28</v>
      </c>
      <c r="F20" s="6" t="s">
        <v>431</v>
      </c>
      <c r="G20" s="6" t="s">
        <v>432</v>
      </c>
      <c r="H20" s="6" t="s">
        <v>433</v>
      </c>
      <c r="I20" s="1"/>
      <c r="J20" s="1"/>
      <c r="K20" s="1"/>
      <c r="L20" s="1"/>
      <c r="M20" s="1"/>
      <c r="N20" s="1"/>
      <c r="O20" s="1"/>
      <c r="P20" s="1"/>
    </row>
    <row r="21" spans="1:16">
      <c r="A21" s="7" t="s">
        <v>434</v>
      </c>
      <c r="B21" s="7" t="s">
        <v>429</v>
      </c>
      <c r="C21" s="7" t="s">
        <v>401</v>
      </c>
      <c r="D21" s="7" t="s">
        <v>430</v>
      </c>
      <c r="E21" s="15">
        <v>265</v>
      </c>
      <c r="F21" s="7" t="s">
        <v>431</v>
      </c>
      <c r="G21" s="7" t="s">
        <v>432</v>
      </c>
      <c r="H21" s="7" t="s">
        <v>433</v>
      </c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</sheetData>
  <mergeCells count="3">
    <mergeCell ref="A2:H2"/>
    <mergeCell ref="A3:H3"/>
    <mergeCell ref="A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A5A5A5"/>
  </sheetPr>
  <dimension ref="A1:P60"/>
  <sheetViews>
    <sheetView showGridLines="0" workbookViewId="0">
      <pane ySplit="6" topLeftCell="A7" activePane="bottomLeft" state="frozen"/>
      <selection pane="bottomLeft" activeCell="B12" sqref="B12"/>
    </sheetView>
  </sheetViews>
  <sheetFormatPr defaultRowHeight="13.8"/>
  <cols>
    <col min="1" max="1" width="45" customWidth="1"/>
    <col min="2" max="2" width="27" customWidth="1"/>
    <col min="3" max="5" width="16" customWidth="1"/>
    <col min="6" max="6" width="19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95" customHeight="1">
      <c r="A2" s="46" t="s">
        <v>435</v>
      </c>
      <c r="B2" s="47"/>
      <c r="C2" s="47"/>
      <c r="D2" s="47"/>
      <c r="E2" s="47"/>
      <c r="F2" s="47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48" t="s">
        <v>436</v>
      </c>
      <c r="B3" s="47"/>
      <c r="C3" s="47"/>
      <c r="D3" s="47"/>
      <c r="E3" s="47"/>
      <c r="F3" s="47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9.95" customHeight="1">
      <c r="A5" s="49" t="s">
        <v>437</v>
      </c>
      <c r="B5" s="49" t="s">
        <v>437</v>
      </c>
      <c r="C5" s="49" t="s">
        <v>437</v>
      </c>
      <c r="D5" s="49" t="s">
        <v>437</v>
      </c>
      <c r="E5" s="49" t="s">
        <v>437</v>
      </c>
      <c r="F5" s="49" t="s">
        <v>437</v>
      </c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3" t="s">
        <v>438</v>
      </c>
      <c r="B6" s="4" t="s">
        <v>439</v>
      </c>
      <c r="C6" s="4" t="s">
        <v>7</v>
      </c>
      <c r="D6" s="4" t="s">
        <v>8</v>
      </c>
      <c r="E6" s="4" t="s">
        <v>9</v>
      </c>
      <c r="F6" s="5" t="s">
        <v>2</v>
      </c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 t="s">
        <v>440</v>
      </c>
      <c r="B7" s="1" t="s">
        <v>441</v>
      </c>
      <c r="C7" s="10">
        <f>SUM('Source Data'!D7:D10)-'Source Data'!D11</f>
        <v>0</v>
      </c>
      <c r="D7" s="10">
        <f>SUM('Source Data'!E7:E10)-'Source Data'!E11</f>
        <v>0</v>
      </c>
      <c r="E7" s="10">
        <f>SUM('Source Data'!F7:F10)-'Source Data'!F11</f>
        <v>0</v>
      </c>
      <c r="F7" s="28" t="str">
        <f>IF(AND(ABS(C7)&lt;=0.01,ABS(D7)&lt;=0.01,ABS(E7)&lt;=0.01),"PASS","FAIL")</f>
        <v>PASS</v>
      </c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442</v>
      </c>
      <c r="B8" s="1" t="s">
        <v>443</v>
      </c>
      <c r="C8" s="10">
        <f>'Source Data'!D19+'Source Data'!D20-'Source Data'!D21</f>
        <v>0</v>
      </c>
      <c r="D8" s="10">
        <f>'Source Data'!E19+'Source Data'!E20-'Source Data'!E21</f>
        <v>0</v>
      </c>
      <c r="E8" s="10">
        <f>'Source Data'!F19+'Source Data'!F20-'Source Data'!F21</f>
        <v>0</v>
      </c>
      <c r="F8" s="28" t="str">
        <f>IF(AND(ABS(C8)&lt;=0.01,ABS(D8)&lt;=0.01,ABS(E8)&lt;=0.01),"PASS","FAIL")</f>
        <v>PASS</v>
      </c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 t="s">
        <v>444</v>
      </c>
      <c r="B9" s="1" t="s">
        <v>445</v>
      </c>
      <c r="C9" s="41">
        <f>Assumptions!D7+Assumptions!D8-1</f>
        <v>0</v>
      </c>
      <c r="D9" s="41">
        <f>Assumptions!E7+Assumptions!E8-1</f>
        <v>0</v>
      </c>
      <c r="E9" s="41">
        <f>Assumptions!F7+Assumptions!F8-1</f>
        <v>0</v>
      </c>
      <c r="F9" s="28" t="str">
        <f>IF(AND(ABS(C9)&lt;=0.000001,ABS(D9)&lt;=0.000001,ABS(E9)&lt;=0.000001),"PASS","FAIL")</f>
        <v>PASS</v>
      </c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446</v>
      </c>
      <c r="B10" s="1" t="s">
        <v>447</v>
      </c>
      <c r="C10" s="41">
        <f>'Scope 1'!D25</f>
        <v>2.8989301368374507E-2</v>
      </c>
      <c r="D10" s="41">
        <f>'Scope 1'!E25</f>
        <v>4.1830515582902426E-2</v>
      </c>
      <c r="E10" s="41">
        <f>'Scope 1'!F25</f>
        <v>4.5509270047876034E-2</v>
      </c>
      <c r="F10" s="28" t="str">
        <f>IF(AND(ABS(C10)&lt;=Assumptions!D19,ABS(D10)&lt;=Assumptions!E19,ABS(E10)&lt;=Assumptions!F19),"PASS","REVIEW")</f>
        <v>PASS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 t="s">
        <v>448</v>
      </c>
      <c r="B11" s="1" t="s">
        <v>449</v>
      </c>
      <c r="C11" s="10">
        <f>'Scope 2'!D10</f>
        <v>97889.797777777785</v>
      </c>
      <c r="D11" s="10">
        <f>'Scope 2'!E10</f>
        <v>100322.70000000001</v>
      </c>
      <c r="E11" s="10">
        <f>'Scope 2'!F10</f>
        <v>108012.44</v>
      </c>
      <c r="F11" s="28" t="str">
        <f>IF(AND(C11&gt;0,D11&gt;0,E11&gt;0),"PASS","FAIL")</f>
        <v>PASS</v>
      </c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 t="s">
        <v>450</v>
      </c>
      <c r="B12" s="1" t="s">
        <v>451</v>
      </c>
      <c r="C12" s="10">
        <f>'Scope 2'!D19</f>
        <v>0</v>
      </c>
      <c r="D12" s="10">
        <f>'Scope 2'!E19</f>
        <v>0</v>
      </c>
      <c r="E12" s="10">
        <f>'Scope 2'!F19</f>
        <v>0</v>
      </c>
      <c r="F12" s="28" t="str">
        <f>IF(AND(C12&gt;=0,D12&gt;=0,E12&gt;=0),"PASS","FAIL")</f>
        <v>PASS</v>
      </c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 t="s">
        <v>452</v>
      </c>
      <c r="B13" s="1" t="s">
        <v>453</v>
      </c>
      <c r="C13" s="10">
        <f>Assumptions!D15</f>
        <v>1</v>
      </c>
      <c r="D13" s="10">
        <f>Assumptions!E15</f>
        <v>1</v>
      </c>
      <c r="E13" s="10">
        <f>Assumptions!F15</f>
        <v>1</v>
      </c>
      <c r="F13" s="28" t="str">
        <f>IF(AND(C13&gt;=0,C13&lt;=1,D13&gt;=0,D13&lt;=1,E13&gt;=0,E13&lt;=1),"PASS","FAIL")</f>
        <v>PASS</v>
      </c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 t="s">
        <v>454</v>
      </c>
      <c r="B14" s="1" t="s">
        <v>449</v>
      </c>
      <c r="C14" s="10">
        <f>'Scope 1'!D19</f>
        <v>158.48566899999997</v>
      </c>
      <c r="D14" s="10">
        <f>'Scope 1'!E19</f>
        <v>155.40033499999998</v>
      </c>
      <c r="E14" s="10">
        <f>'Scope 1'!F19</f>
        <v>171.93882799999997</v>
      </c>
      <c r="F14" s="28" t="str">
        <f>IF(AND(C14&gt;0,D14&gt;0,E14&gt;0),"PASS","FAIL")</f>
        <v>PASS</v>
      </c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 t="s">
        <v>455</v>
      </c>
      <c r="B15" s="1" t="s">
        <v>456</v>
      </c>
      <c r="C15" s="1" t="s">
        <v>457</v>
      </c>
      <c r="D15" s="1" t="s">
        <v>457</v>
      </c>
      <c r="E15" s="1" t="s">
        <v>457</v>
      </c>
      <c r="F15" s="28" t="str">
        <f>"CONDITIONAL"</f>
        <v>CONDITIONAL</v>
      </c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 t="s">
        <v>458</v>
      </c>
      <c r="B16" s="1" t="s">
        <v>459</v>
      </c>
      <c r="C16" s="1" t="s">
        <v>460</v>
      </c>
      <c r="D16" s="1" t="s">
        <v>460</v>
      </c>
      <c r="E16" s="1" t="s">
        <v>460</v>
      </c>
      <c r="F16" s="28" t="str">
        <f>"REVIEW"</f>
        <v>REVIEW</v>
      </c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3" t="s">
        <v>461</v>
      </c>
      <c r="B17" s="13" t="s">
        <v>462</v>
      </c>
      <c r="C17" s="13" t="s">
        <v>83</v>
      </c>
      <c r="D17" s="13" t="s">
        <v>83</v>
      </c>
      <c r="E17" s="13" t="s">
        <v>83</v>
      </c>
      <c r="F17" s="42" t="str">
        <f>"NOT AVAILABLE"</f>
        <v>NOT AVAILABLE</v>
      </c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9.95" customHeight="1">
      <c r="A20" s="49" t="s">
        <v>463</v>
      </c>
      <c r="B20" s="49" t="s">
        <v>463</v>
      </c>
      <c r="C20" s="49" t="s">
        <v>463</v>
      </c>
      <c r="D20" s="49" t="s">
        <v>463</v>
      </c>
      <c r="E20" s="49" t="s">
        <v>463</v>
      </c>
      <c r="F20" s="49" t="s">
        <v>463</v>
      </c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2" customHeight="1">
      <c r="A21" s="43" t="s">
        <v>56</v>
      </c>
      <c r="B21" s="50" t="s">
        <v>464</v>
      </c>
      <c r="C21" s="50"/>
      <c r="D21" s="50"/>
      <c r="E21" s="50"/>
      <c r="F21" s="50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2" customHeight="1">
      <c r="A22" s="43" t="s">
        <v>48</v>
      </c>
      <c r="B22" s="50" t="s">
        <v>465</v>
      </c>
      <c r="C22" s="50"/>
      <c r="D22" s="50"/>
      <c r="E22" s="50"/>
      <c r="F22" s="50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2" customHeight="1">
      <c r="A23" s="43" t="s">
        <v>49</v>
      </c>
      <c r="B23" s="50" t="s">
        <v>466</v>
      </c>
      <c r="C23" s="50"/>
      <c r="D23" s="50"/>
      <c r="E23" s="50"/>
      <c r="F23" s="50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2" customHeight="1">
      <c r="A24" s="43" t="s">
        <v>80</v>
      </c>
      <c r="B24" s="50" t="s">
        <v>467</v>
      </c>
      <c r="C24" s="50"/>
      <c r="D24" s="50"/>
      <c r="E24" s="50"/>
      <c r="F24" s="50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</sheetData>
  <mergeCells count="8">
    <mergeCell ref="B22:F22"/>
    <mergeCell ref="B23:F23"/>
    <mergeCell ref="B24:F24"/>
    <mergeCell ref="A2:F2"/>
    <mergeCell ref="A3:F3"/>
    <mergeCell ref="A5:F5"/>
    <mergeCell ref="A20:F20"/>
    <mergeCell ref="B21:F21"/>
  </mergeCells>
  <conditionalFormatting sqref="F7:F17">
    <cfRule type="containsText" dxfId="4" priority="1" operator="containsText" text="PASS"/>
    <cfRule type="containsText" dxfId="3" priority="2" operator="containsText" text="FAIL"/>
    <cfRule type="containsText" dxfId="2" priority="3" operator="containsText" text="REVIEW"/>
    <cfRule type="containsText" dxfId="1" priority="4" operator="containsText" text="CONDITIONAL"/>
    <cfRule type="containsText" dxfId="0" priority="5" operator="containsText" text="NOT AVAILABLE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8064A2"/>
  </sheetPr>
  <dimension ref="A1:P60"/>
  <sheetViews>
    <sheetView showGridLines="0" workbookViewId="0">
      <pane ySplit="6" topLeftCell="A7" activePane="bottomLeft" state="frozen"/>
      <selection pane="bottomLeft"/>
    </sheetView>
  </sheetViews>
  <sheetFormatPr defaultRowHeight="13.8"/>
  <cols>
    <col min="1" max="1" width="15" customWidth="1"/>
    <col min="2" max="2" width="40" customWidth="1"/>
    <col min="3" max="3" width="12" customWidth="1"/>
    <col min="4" max="4" width="22" customWidth="1"/>
    <col min="5" max="5" width="25" customWidth="1"/>
    <col min="6" max="6" width="34" customWidth="1"/>
    <col min="7" max="7" width="65" customWidth="1"/>
    <col min="8" max="8" width="46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5.95" customHeight="1">
      <c r="A2" s="46" t="s">
        <v>468</v>
      </c>
      <c r="B2" s="47"/>
      <c r="C2" s="47"/>
      <c r="D2" s="47"/>
      <c r="E2" s="47"/>
      <c r="F2" s="47"/>
      <c r="G2" s="47"/>
      <c r="H2" s="47"/>
      <c r="I2" s="1"/>
      <c r="J2" s="1"/>
      <c r="K2" s="1"/>
      <c r="L2" s="1"/>
      <c r="M2" s="1"/>
      <c r="N2" s="1"/>
      <c r="O2" s="1"/>
      <c r="P2" s="1"/>
    </row>
    <row r="3" spans="1:16">
      <c r="A3" s="48" t="s">
        <v>469</v>
      </c>
      <c r="B3" s="47"/>
      <c r="C3" s="47"/>
      <c r="D3" s="47"/>
      <c r="E3" s="47"/>
      <c r="F3" s="47"/>
      <c r="G3" s="47"/>
      <c r="H3" s="47"/>
      <c r="I3" s="1"/>
      <c r="J3" s="1"/>
      <c r="K3" s="1"/>
      <c r="L3" s="1"/>
      <c r="M3" s="1"/>
      <c r="N3" s="1"/>
      <c r="O3" s="1"/>
      <c r="P3" s="1"/>
    </row>
    <row r="4" spans="1:16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ht="19.95" customHeight="1">
      <c r="A5" s="49" t="s">
        <v>470</v>
      </c>
      <c r="B5" s="49" t="s">
        <v>470</v>
      </c>
      <c r="C5" s="49" t="s">
        <v>470</v>
      </c>
      <c r="D5" s="49" t="s">
        <v>470</v>
      </c>
      <c r="E5" s="49" t="s">
        <v>470</v>
      </c>
      <c r="F5" s="49" t="s">
        <v>470</v>
      </c>
      <c r="G5" s="49" t="s">
        <v>470</v>
      </c>
      <c r="H5" s="49" t="s">
        <v>470</v>
      </c>
      <c r="I5" s="1"/>
      <c r="J5" s="1"/>
      <c r="K5" s="1"/>
      <c r="L5" s="1"/>
      <c r="M5" s="1"/>
      <c r="N5" s="1"/>
      <c r="O5" s="1"/>
      <c r="P5" s="1"/>
    </row>
    <row r="6" spans="1:16">
      <c r="A6" s="3" t="s">
        <v>238</v>
      </c>
      <c r="B6" s="4" t="s">
        <v>88</v>
      </c>
      <c r="C6" s="4" t="s">
        <v>47</v>
      </c>
      <c r="D6" s="4" t="s">
        <v>471</v>
      </c>
      <c r="E6" s="4" t="s">
        <v>472</v>
      </c>
      <c r="F6" s="4" t="s">
        <v>473</v>
      </c>
      <c r="G6" s="4" t="s">
        <v>474</v>
      </c>
      <c r="H6" s="5" t="s">
        <v>475</v>
      </c>
      <c r="I6" s="1"/>
      <c r="J6" s="1"/>
      <c r="K6" s="1"/>
      <c r="L6" s="1"/>
      <c r="M6" s="1"/>
      <c r="N6" s="1"/>
      <c r="O6" s="1"/>
      <c r="P6" s="1"/>
    </row>
    <row r="7" spans="1:16">
      <c r="A7" s="6" t="s">
        <v>476</v>
      </c>
      <c r="B7" s="6" t="s">
        <v>477</v>
      </c>
      <c r="C7" s="6">
        <v>2025</v>
      </c>
      <c r="D7" s="6" t="s">
        <v>478</v>
      </c>
      <c r="E7" s="6" t="s">
        <v>479</v>
      </c>
      <c r="F7" s="6" t="s">
        <v>480</v>
      </c>
      <c r="G7" s="6" t="s">
        <v>481</v>
      </c>
      <c r="H7" s="6" t="s">
        <v>482</v>
      </c>
      <c r="I7" s="1"/>
      <c r="J7" s="1"/>
      <c r="K7" s="1"/>
      <c r="L7" s="1"/>
      <c r="M7" s="1"/>
      <c r="N7" s="1"/>
      <c r="O7" s="1"/>
      <c r="P7" s="1"/>
    </row>
    <row r="8" spans="1:16">
      <c r="A8" s="6" t="s">
        <v>483</v>
      </c>
      <c r="B8" s="6" t="s">
        <v>484</v>
      </c>
      <c r="C8" s="6">
        <v>2018</v>
      </c>
      <c r="D8" s="6" t="s">
        <v>485</v>
      </c>
      <c r="E8" s="6" t="s">
        <v>486</v>
      </c>
      <c r="F8" s="6" t="s">
        <v>487</v>
      </c>
      <c r="G8" s="6" t="s">
        <v>488</v>
      </c>
      <c r="H8" s="6" t="s">
        <v>489</v>
      </c>
      <c r="I8" s="1"/>
      <c r="J8" s="1"/>
      <c r="K8" s="1"/>
      <c r="L8" s="1"/>
      <c r="M8" s="1"/>
      <c r="N8" s="1"/>
      <c r="O8" s="1"/>
      <c r="P8" s="1"/>
    </row>
    <row r="9" spans="1:16">
      <c r="A9" s="6" t="s">
        <v>490</v>
      </c>
      <c r="B9" s="6" t="s">
        <v>491</v>
      </c>
      <c r="C9" s="6">
        <v>2021</v>
      </c>
      <c r="D9" s="6" t="s">
        <v>492</v>
      </c>
      <c r="E9" s="6" t="s">
        <v>493</v>
      </c>
      <c r="F9" s="6" t="s">
        <v>494</v>
      </c>
      <c r="G9" s="6" t="s">
        <v>495</v>
      </c>
      <c r="H9" s="6" t="s">
        <v>496</v>
      </c>
      <c r="I9" s="1"/>
      <c r="J9" s="1"/>
      <c r="K9" s="1"/>
      <c r="L9" s="1"/>
      <c r="M9" s="1"/>
      <c r="N9" s="1"/>
      <c r="O9" s="1"/>
      <c r="P9" s="1"/>
    </row>
    <row r="10" spans="1:16">
      <c r="A10" s="6" t="s">
        <v>497</v>
      </c>
      <c r="B10" s="6" t="s">
        <v>498</v>
      </c>
      <c r="C10" s="6">
        <v>2015</v>
      </c>
      <c r="D10" s="6" t="s">
        <v>499</v>
      </c>
      <c r="E10" s="6" t="s">
        <v>500</v>
      </c>
      <c r="F10" s="6" t="s">
        <v>501</v>
      </c>
      <c r="G10" s="6" t="s">
        <v>502</v>
      </c>
      <c r="H10" s="6" t="s">
        <v>503</v>
      </c>
      <c r="I10" s="1"/>
      <c r="J10" s="1"/>
      <c r="K10" s="1"/>
      <c r="L10" s="1"/>
      <c r="M10" s="1"/>
      <c r="N10" s="1"/>
      <c r="O10" s="1"/>
      <c r="P10" s="1"/>
    </row>
    <row r="11" spans="1:16">
      <c r="A11" s="6" t="s">
        <v>504</v>
      </c>
      <c r="B11" s="6" t="s">
        <v>426</v>
      </c>
      <c r="C11" s="6">
        <v>2015</v>
      </c>
      <c r="D11" s="6" t="s">
        <v>505</v>
      </c>
      <c r="E11" s="6" t="s">
        <v>506</v>
      </c>
      <c r="F11" s="6" t="s">
        <v>507</v>
      </c>
      <c r="G11" s="6" t="s">
        <v>508</v>
      </c>
      <c r="H11" s="6" t="s">
        <v>509</v>
      </c>
      <c r="I11" s="1"/>
      <c r="J11" s="1"/>
      <c r="K11" s="1"/>
      <c r="L11" s="1"/>
      <c r="M11" s="1"/>
      <c r="N11" s="1"/>
      <c r="O11" s="1"/>
      <c r="P11" s="1"/>
    </row>
    <row r="12" spans="1:16">
      <c r="A12" s="6" t="s">
        <v>510</v>
      </c>
      <c r="B12" s="6" t="s">
        <v>511</v>
      </c>
      <c r="C12" s="6">
        <v>2006</v>
      </c>
      <c r="D12" s="6" t="s">
        <v>512</v>
      </c>
      <c r="E12" s="6" t="s">
        <v>513</v>
      </c>
      <c r="F12" s="6" t="s">
        <v>514</v>
      </c>
      <c r="G12" s="6" t="s">
        <v>515</v>
      </c>
      <c r="H12" s="6" t="s">
        <v>516</v>
      </c>
      <c r="I12" s="1"/>
      <c r="J12" s="1"/>
      <c r="K12" s="1"/>
      <c r="L12" s="1"/>
      <c r="M12" s="1"/>
      <c r="N12" s="1"/>
      <c r="O12" s="1"/>
      <c r="P12" s="1"/>
    </row>
    <row r="13" spans="1:16">
      <c r="A13" s="7" t="s">
        <v>517</v>
      </c>
      <c r="B13" s="7" t="s">
        <v>518</v>
      </c>
      <c r="C13" s="7">
        <v>2025</v>
      </c>
      <c r="D13" s="7" t="s">
        <v>519</v>
      </c>
      <c r="E13" s="7" t="s">
        <v>520</v>
      </c>
      <c r="F13" s="7" t="s">
        <v>521</v>
      </c>
      <c r="G13" s="7" t="s">
        <v>522</v>
      </c>
      <c r="H13" s="7" t="s">
        <v>523</v>
      </c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9.95" customHeight="1">
      <c r="A16" s="49" t="s">
        <v>524</v>
      </c>
      <c r="B16" s="49" t="s">
        <v>524</v>
      </c>
      <c r="C16" s="49" t="s">
        <v>524</v>
      </c>
      <c r="D16" s="49" t="s">
        <v>524</v>
      </c>
      <c r="E16" s="49" t="s">
        <v>524</v>
      </c>
      <c r="F16" s="49" t="s">
        <v>524</v>
      </c>
      <c r="G16" s="49" t="s">
        <v>524</v>
      </c>
      <c r="H16" s="49" t="s">
        <v>524</v>
      </c>
      <c r="I16" s="1"/>
      <c r="J16" s="1"/>
      <c r="K16" s="1"/>
      <c r="L16" s="1"/>
      <c r="M16" s="1"/>
      <c r="N16" s="1"/>
      <c r="O16" s="1"/>
      <c r="P16" s="1"/>
    </row>
    <row r="17" spans="1:16" ht="42" customHeight="1">
      <c r="A17" s="23" t="s">
        <v>525</v>
      </c>
      <c r="B17" s="43" t="s">
        <v>365</v>
      </c>
      <c r="C17" s="50" t="s">
        <v>526</v>
      </c>
      <c r="D17" s="50"/>
      <c r="E17" s="50"/>
      <c r="F17" s="50"/>
      <c r="G17" s="50"/>
      <c r="H17" s="50"/>
      <c r="I17" s="1"/>
      <c r="J17" s="1"/>
      <c r="K17" s="1"/>
      <c r="L17" s="1"/>
      <c r="M17" s="1"/>
      <c r="N17" s="1"/>
      <c r="O17" s="1"/>
      <c r="P17" s="1"/>
    </row>
    <row r="18" spans="1:16" ht="58.05" customHeight="1">
      <c r="A18" s="23" t="s">
        <v>527</v>
      </c>
      <c r="B18" s="43" t="s">
        <v>56</v>
      </c>
      <c r="C18" s="50" t="s">
        <v>528</v>
      </c>
      <c r="D18" s="50"/>
      <c r="E18" s="50"/>
      <c r="F18" s="50"/>
      <c r="G18" s="50"/>
      <c r="H18" s="50"/>
      <c r="I18" s="1"/>
      <c r="J18" s="1"/>
      <c r="K18" s="1"/>
      <c r="L18" s="1"/>
      <c r="M18" s="1"/>
      <c r="N18" s="1"/>
      <c r="O18" s="1"/>
      <c r="P18" s="1"/>
    </row>
    <row r="19" spans="1:16" ht="42" customHeight="1">
      <c r="A19" s="23" t="s">
        <v>529</v>
      </c>
      <c r="B19" s="43" t="s">
        <v>48</v>
      </c>
      <c r="C19" s="50" t="s">
        <v>530</v>
      </c>
      <c r="D19" s="50"/>
      <c r="E19" s="50"/>
      <c r="F19" s="50"/>
      <c r="G19" s="50"/>
      <c r="H19" s="50"/>
      <c r="I19" s="1"/>
      <c r="J19" s="1"/>
      <c r="K19" s="1"/>
      <c r="L19" s="1"/>
      <c r="M19" s="1"/>
      <c r="N19" s="1"/>
      <c r="O19" s="1"/>
      <c r="P19" s="1"/>
    </row>
    <row r="20" spans="1:16" ht="42" customHeight="1">
      <c r="A20" s="23" t="s">
        <v>531</v>
      </c>
      <c r="B20" s="43" t="s">
        <v>49</v>
      </c>
      <c r="C20" s="50" t="s">
        <v>532</v>
      </c>
      <c r="D20" s="50"/>
      <c r="E20" s="50"/>
      <c r="F20" s="50"/>
      <c r="G20" s="50"/>
      <c r="H20" s="50"/>
      <c r="I20" s="1"/>
      <c r="J20" s="1"/>
      <c r="K20" s="1"/>
      <c r="L20" s="1"/>
      <c r="M20" s="1"/>
      <c r="N20" s="1"/>
      <c r="O20" s="1"/>
      <c r="P20" s="1"/>
    </row>
    <row r="21" spans="1:16" ht="42" customHeight="1">
      <c r="A21" s="23" t="s">
        <v>533</v>
      </c>
      <c r="B21" s="43" t="s">
        <v>76</v>
      </c>
      <c r="C21" s="50" t="s">
        <v>534</v>
      </c>
      <c r="D21" s="50"/>
      <c r="E21" s="50"/>
      <c r="F21" s="50"/>
      <c r="G21" s="50"/>
      <c r="H21" s="50"/>
      <c r="I21" s="1"/>
      <c r="J21" s="1"/>
      <c r="K21" s="1"/>
      <c r="L21" s="1"/>
      <c r="M21" s="1"/>
      <c r="N21" s="1"/>
      <c r="O21" s="1"/>
      <c r="P21" s="1"/>
    </row>
    <row r="22" spans="1:16" ht="42" customHeight="1">
      <c r="A22" s="23" t="s">
        <v>535</v>
      </c>
      <c r="B22" s="43" t="s">
        <v>536</v>
      </c>
      <c r="C22" s="50" t="s">
        <v>537</v>
      </c>
      <c r="D22" s="50"/>
      <c r="E22" s="50"/>
      <c r="F22" s="50"/>
      <c r="G22" s="50"/>
      <c r="H22" s="50"/>
      <c r="I22" s="1"/>
      <c r="J22" s="1"/>
      <c r="K22" s="1"/>
      <c r="L22" s="1"/>
      <c r="M22" s="1"/>
      <c r="N22" s="1"/>
      <c r="O22" s="1"/>
      <c r="P22" s="1"/>
    </row>
    <row r="23" spans="1:16" ht="42" customHeight="1">
      <c r="A23" s="23" t="s">
        <v>538</v>
      </c>
      <c r="B23" s="43" t="s">
        <v>45</v>
      </c>
      <c r="C23" s="50" t="s">
        <v>539</v>
      </c>
      <c r="D23" s="50"/>
      <c r="E23" s="50"/>
      <c r="F23" s="50"/>
      <c r="G23" s="50"/>
      <c r="H23" s="50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9.95" customHeight="1">
      <c r="A26" s="49" t="s">
        <v>540</v>
      </c>
      <c r="B26" s="49" t="s">
        <v>540</v>
      </c>
      <c r="C26" s="49" t="s">
        <v>540</v>
      </c>
      <c r="D26" s="49" t="s">
        <v>540</v>
      </c>
      <c r="E26" s="49" t="s">
        <v>540</v>
      </c>
      <c r="F26" s="49" t="s">
        <v>540</v>
      </c>
      <c r="G26" s="49" t="s">
        <v>540</v>
      </c>
      <c r="H26" s="49" t="s">
        <v>540</v>
      </c>
      <c r="I26" s="1"/>
      <c r="J26" s="1"/>
      <c r="K26" s="1"/>
      <c r="L26" s="1"/>
      <c r="M26" s="1"/>
      <c r="N26" s="1"/>
      <c r="O26" s="1"/>
      <c r="P26" s="1"/>
    </row>
    <row r="27" spans="1:16" ht="37.950000000000003" customHeight="1">
      <c r="A27" s="43" t="s">
        <v>37</v>
      </c>
      <c r="B27" s="50" t="s">
        <v>541</v>
      </c>
      <c r="C27" s="50"/>
      <c r="D27" s="50"/>
      <c r="E27" s="50"/>
      <c r="F27" s="50"/>
      <c r="G27" s="50"/>
      <c r="H27" s="50"/>
      <c r="I27" s="1"/>
      <c r="J27" s="1"/>
      <c r="K27" s="1"/>
      <c r="L27" s="1"/>
      <c r="M27" s="1"/>
      <c r="N27" s="1"/>
      <c r="O27" s="1"/>
      <c r="P27" s="1"/>
    </row>
    <row r="28" spans="1:16" ht="37.950000000000003" customHeight="1">
      <c r="A28" s="43" t="s">
        <v>39</v>
      </c>
      <c r="B28" s="50" t="s">
        <v>542</v>
      </c>
      <c r="C28" s="50"/>
      <c r="D28" s="50"/>
      <c r="E28" s="50"/>
      <c r="F28" s="50"/>
      <c r="G28" s="50"/>
      <c r="H28" s="50"/>
      <c r="I28" s="1"/>
      <c r="J28" s="1"/>
      <c r="K28" s="1"/>
      <c r="L28" s="1"/>
      <c r="M28" s="1"/>
      <c r="N28" s="1"/>
      <c r="O28" s="1"/>
      <c r="P28" s="1"/>
    </row>
    <row r="29" spans="1:16" ht="37.950000000000003" customHeight="1">
      <c r="A29" s="43" t="s">
        <v>543</v>
      </c>
      <c r="B29" s="50" t="s">
        <v>544</v>
      </c>
      <c r="C29" s="50"/>
      <c r="D29" s="50"/>
      <c r="E29" s="50"/>
      <c r="F29" s="50"/>
      <c r="G29" s="50"/>
      <c r="H29" s="50"/>
      <c r="I29" s="1"/>
      <c r="J29" s="1"/>
      <c r="K29" s="1"/>
      <c r="L29" s="1"/>
      <c r="M29" s="1"/>
      <c r="N29" s="1"/>
      <c r="O29" s="1"/>
      <c r="P29" s="1"/>
    </row>
    <row r="30" spans="1:16" ht="37.950000000000003" customHeight="1">
      <c r="A30" s="43" t="s">
        <v>319</v>
      </c>
      <c r="B30" s="50" t="s">
        <v>545</v>
      </c>
      <c r="C30" s="50"/>
      <c r="D30" s="50"/>
      <c r="E30" s="50"/>
      <c r="F30" s="50"/>
      <c r="G30" s="50"/>
      <c r="H30" s="50"/>
      <c r="I30" s="1"/>
      <c r="J30" s="1"/>
      <c r="K30" s="1"/>
      <c r="L30" s="1"/>
      <c r="M30" s="1"/>
      <c r="N30" s="1"/>
      <c r="O30" s="1"/>
      <c r="P30" s="1"/>
    </row>
    <row r="31" spans="1:16" ht="37.950000000000003" customHeight="1">
      <c r="A31" s="43" t="s">
        <v>43</v>
      </c>
      <c r="B31" s="50" t="s">
        <v>546</v>
      </c>
      <c r="C31" s="50"/>
      <c r="D31" s="50"/>
      <c r="E31" s="50"/>
      <c r="F31" s="50"/>
      <c r="G31" s="50"/>
      <c r="H31" s="50"/>
      <c r="I31" s="1"/>
      <c r="J31" s="1"/>
      <c r="K31" s="1"/>
      <c r="L31" s="1"/>
      <c r="M31" s="1"/>
      <c r="N31" s="1"/>
      <c r="O31" s="1"/>
      <c r="P31" s="1"/>
    </row>
    <row r="32" spans="1:16" ht="37.950000000000003" customHeight="1">
      <c r="A32" s="43" t="s">
        <v>80</v>
      </c>
      <c r="B32" s="50" t="s">
        <v>547</v>
      </c>
      <c r="C32" s="50"/>
      <c r="D32" s="50"/>
      <c r="E32" s="50"/>
      <c r="F32" s="50"/>
      <c r="G32" s="50"/>
      <c r="H32" s="50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</sheetData>
  <mergeCells count="18">
    <mergeCell ref="B30:H30"/>
    <mergeCell ref="B31:H31"/>
    <mergeCell ref="B32:H32"/>
    <mergeCell ref="C23:H23"/>
    <mergeCell ref="A26:H26"/>
    <mergeCell ref="B27:H27"/>
    <mergeCell ref="B28:H28"/>
    <mergeCell ref="B29:H29"/>
    <mergeCell ref="C18:H18"/>
    <mergeCell ref="C19:H19"/>
    <mergeCell ref="C20:H20"/>
    <mergeCell ref="C21:H21"/>
    <mergeCell ref="C22:H22"/>
    <mergeCell ref="A2:H2"/>
    <mergeCell ref="A3:H3"/>
    <mergeCell ref="A5:H5"/>
    <mergeCell ref="A16:H16"/>
    <mergeCell ref="C17: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>
  <dc:title>UNVR Corporate GHG Reconstruction 2025</dc:title>
  <dc:creator>Natan Chris Sherafido</dc:creator>
  <dc:subject>Independent corporate GHG inventory reconstruction using public disclosures</dc:subject>
  <dc:description>Independent corporate GHG inventory reconstruction using public disclosures</dc:description>
  <cp:keywords>portfolio, sustainability, greenhouse gas accounting, emissions analysis</cp:keywords>
  <cp:lastModifiedBy>Natan Chris Sherafido</cp:lastModifiedBy>
</cp:coreProperties>
</file>